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730" windowHeight="7980" tabRatio="775" firstSheet="1" activeTab="4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AMARRE" sheetId="130" state="hidden" r:id="rId7"/>
  </sheets>
  <externalReferences>
    <externalReference r:id="rId8"/>
  </externalReferences>
  <definedNames>
    <definedName name="_45">#REF!</definedName>
    <definedName name="_xlnm.Print_Area" localSheetId="5">JUBILADOS!$C$3:$J$23</definedName>
    <definedName name="_xlnm.Print_Area" localSheetId="1">REGIDORES!$A$1:$U$29</definedName>
    <definedName name="_xlnm.Print_Area" localSheetId="3">SUPERNUMERARIO!$A$1:$S$97</definedName>
    <definedName name="CREDITO">#REF!</definedName>
    <definedName name="Credito1">#REF!</definedName>
    <definedName name="isr">#REF!</definedName>
    <definedName name="subsidio">#REF!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#REF!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24519"/>
</workbook>
</file>

<file path=xl/calcChain.xml><?xml version="1.0" encoding="utf-8"?>
<calcChain xmlns="http://schemas.openxmlformats.org/spreadsheetml/2006/main">
  <c r="E11" i="130"/>
  <c r="C20" s="1"/>
  <c r="F20" i="124"/>
  <c r="G20"/>
  <c r="E10" i="130"/>
  <c r="E9"/>
  <c r="C19" s="1"/>
  <c r="E8"/>
  <c r="H33" i="120"/>
  <c r="K33"/>
  <c r="K113"/>
  <c r="S30"/>
  <c r="F38" i="124"/>
  <c r="G38"/>
  <c r="Q28" i="120"/>
  <c r="D16" i="130"/>
  <c r="M9"/>
  <c r="M8"/>
  <c r="C8"/>
  <c r="F37" i="124"/>
  <c r="G37"/>
  <c r="H37"/>
  <c r="G19" i="123"/>
  <c r="H19"/>
  <c r="H32" i="120"/>
  <c r="M32"/>
  <c r="S12"/>
  <c r="G8" i="130"/>
  <c r="G14"/>
  <c r="G13"/>
  <c r="F100" i="124"/>
  <c r="K100"/>
  <c r="F101"/>
  <c r="M101"/>
  <c r="F102"/>
  <c r="F99"/>
  <c r="K99"/>
  <c r="F17" i="123"/>
  <c r="P40" i="124"/>
  <c r="P104"/>
  <c r="G87" i="123"/>
  <c r="H87"/>
  <c r="I87"/>
  <c r="J87"/>
  <c r="K87"/>
  <c r="L87"/>
  <c r="M87"/>
  <c r="P87"/>
  <c r="E87"/>
  <c r="R24" i="126"/>
  <c r="F34" i="124"/>
  <c r="K34"/>
  <c r="F35"/>
  <c r="K35"/>
  <c r="F36"/>
  <c r="M36"/>
  <c r="F16"/>
  <c r="M16"/>
  <c r="F17"/>
  <c r="M17"/>
  <c r="F18"/>
  <c r="I18"/>
  <c r="F19"/>
  <c r="M19"/>
  <c r="F21"/>
  <c r="I21"/>
  <c r="F22"/>
  <c r="G22"/>
  <c r="H22"/>
  <c r="F23"/>
  <c r="I23"/>
  <c r="F24"/>
  <c r="F25"/>
  <c r="I25"/>
  <c r="F26"/>
  <c r="I26"/>
  <c r="F27"/>
  <c r="M27"/>
  <c r="F28"/>
  <c r="F29"/>
  <c r="F30"/>
  <c r="F31"/>
  <c r="I31"/>
  <c r="F32"/>
  <c r="F33"/>
  <c r="I33"/>
  <c r="F15"/>
  <c r="F67" i="123"/>
  <c r="M67"/>
  <c r="F68"/>
  <c r="F69"/>
  <c r="F70"/>
  <c r="G70"/>
  <c r="H70"/>
  <c r="F71"/>
  <c r="F72"/>
  <c r="F73"/>
  <c r="I73"/>
  <c r="F74"/>
  <c r="I74"/>
  <c r="F75"/>
  <c r="F76"/>
  <c r="F78"/>
  <c r="F79"/>
  <c r="I79"/>
  <c r="F80"/>
  <c r="I80"/>
  <c r="F82"/>
  <c r="I82"/>
  <c r="F83"/>
  <c r="G83"/>
  <c r="F84"/>
  <c r="K84"/>
  <c r="F86"/>
  <c r="F65"/>
  <c r="G65"/>
  <c r="F40"/>
  <c r="I40"/>
  <c r="F41"/>
  <c r="G41"/>
  <c r="H41"/>
  <c r="J41"/>
  <c r="F42"/>
  <c r="G42"/>
  <c r="F43"/>
  <c r="G43"/>
  <c r="H43"/>
  <c r="F44"/>
  <c r="K44"/>
  <c r="F45"/>
  <c r="G45"/>
  <c r="F46"/>
  <c r="F47"/>
  <c r="M47"/>
  <c r="F48"/>
  <c r="G48"/>
  <c r="H48"/>
  <c r="F49"/>
  <c r="G49"/>
  <c r="H49"/>
  <c r="J49"/>
  <c r="F50"/>
  <c r="M50"/>
  <c r="F51"/>
  <c r="M51"/>
  <c r="F52"/>
  <c r="K52"/>
  <c r="F53"/>
  <c r="G53"/>
  <c r="F54"/>
  <c r="K54"/>
  <c r="F39"/>
  <c r="K39"/>
  <c r="F14"/>
  <c r="I14"/>
  <c r="F16"/>
  <c r="K16"/>
  <c r="M17"/>
  <c r="F21"/>
  <c r="G21"/>
  <c r="H21"/>
  <c r="J21"/>
  <c r="L21"/>
  <c r="N21"/>
  <c r="F23"/>
  <c r="I23"/>
  <c r="F25"/>
  <c r="K25"/>
  <c r="F27"/>
  <c r="M27"/>
  <c r="F28"/>
  <c r="I28"/>
  <c r="F12"/>
  <c r="M12"/>
  <c r="H101" i="120"/>
  <c r="I101"/>
  <c r="H102"/>
  <c r="H103"/>
  <c r="I103"/>
  <c r="J103"/>
  <c r="L103"/>
  <c r="H104"/>
  <c r="I104"/>
  <c r="J104"/>
  <c r="H105"/>
  <c r="H106"/>
  <c r="H108"/>
  <c r="I108"/>
  <c r="H109"/>
  <c r="O109"/>
  <c r="H110"/>
  <c r="H100"/>
  <c r="O100"/>
  <c r="H79"/>
  <c r="H80"/>
  <c r="H81"/>
  <c r="K81"/>
  <c r="H83"/>
  <c r="H85"/>
  <c r="K85"/>
  <c r="H87"/>
  <c r="K87"/>
  <c r="H89"/>
  <c r="H77"/>
  <c r="M77"/>
  <c r="M105"/>
  <c r="H46"/>
  <c r="H48"/>
  <c r="K48"/>
  <c r="H49"/>
  <c r="H50"/>
  <c r="O50"/>
  <c r="H52"/>
  <c r="H53"/>
  <c r="H54"/>
  <c r="O54"/>
  <c r="H56"/>
  <c r="H57"/>
  <c r="I57"/>
  <c r="H58"/>
  <c r="H60"/>
  <c r="I60"/>
  <c r="H61"/>
  <c r="M61"/>
  <c r="H62"/>
  <c r="I62"/>
  <c r="J62"/>
  <c r="H63"/>
  <c r="H64"/>
  <c r="I64"/>
  <c r="H65"/>
  <c r="H66"/>
  <c r="H67"/>
  <c r="H45"/>
  <c r="K45"/>
  <c r="H18"/>
  <c r="H20"/>
  <c r="K20"/>
  <c r="H22"/>
  <c r="K22"/>
  <c r="H24"/>
  <c r="H26"/>
  <c r="H27"/>
  <c r="H28"/>
  <c r="H29"/>
  <c r="H30"/>
  <c r="H35"/>
  <c r="H13"/>
  <c r="H14"/>
  <c r="K14"/>
  <c r="H15"/>
  <c r="M15"/>
  <c r="H16"/>
  <c r="M16"/>
  <c r="H12"/>
  <c r="H12" i="126"/>
  <c r="O12"/>
  <c r="M86" i="123"/>
  <c r="K86"/>
  <c r="I86"/>
  <c r="G86"/>
  <c r="H86"/>
  <c r="M82"/>
  <c r="K82"/>
  <c r="O110" i="120"/>
  <c r="I110"/>
  <c r="J110"/>
  <c r="K106"/>
  <c r="K104"/>
  <c r="K103"/>
  <c r="I100"/>
  <c r="J100"/>
  <c r="M87"/>
  <c r="M85"/>
  <c r="M81"/>
  <c r="O79"/>
  <c r="M79"/>
  <c r="O77"/>
  <c r="P77"/>
  <c r="S77"/>
  <c r="K66"/>
  <c r="I66"/>
  <c r="K65"/>
  <c r="O62"/>
  <c r="O61"/>
  <c r="O58"/>
  <c r="M58"/>
  <c r="K58"/>
  <c r="L58"/>
  <c r="I58"/>
  <c r="J58"/>
  <c r="I54"/>
  <c r="J54"/>
  <c r="L54"/>
  <c r="I50"/>
  <c r="J50"/>
  <c r="O46"/>
  <c r="M46"/>
  <c r="K46"/>
  <c r="I46"/>
  <c r="J46"/>
  <c r="M45"/>
  <c r="I13"/>
  <c r="J13"/>
  <c r="K13"/>
  <c r="L13"/>
  <c r="N13"/>
  <c r="M13"/>
  <c r="O13"/>
  <c r="O14"/>
  <c r="K16"/>
  <c r="K18"/>
  <c r="I26"/>
  <c r="J26"/>
  <c r="K26"/>
  <c r="M26"/>
  <c r="O26"/>
  <c r="I27"/>
  <c r="J27"/>
  <c r="L27"/>
  <c r="K27"/>
  <c r="M27"/>
  <c r="O27"/>
  <c r="I30"/>
  <c r="J30"/>
  <c r="L30"/>
  <c r="N30"/>
  <c r="P30"/>
  <c r="K30"/>
  <c r="M30"/>
  <c r="O30"/>
  <c r="I35"/>
  <c r="K35"/>
  <c r="O12"/>
  <c r="M12"/>
  <c r="H13" i="126"/>
  <c r="I13"/>
  <c r="J13"/>
  <c r="H14"/>
  <c r="H15"/>
  <c r="H16"/>
  <c r="I16"/>
  <c r="H17"/>
  <c r="O17"/>
  <c r="H18"/>
  <c r="I18"/>
  <c r="J18"/>
  <c r="H19"/>
  <c r="K19"/>
  <c r="H20"/>
  <c r="I20"/>
  <c r="J20"/>
  <c r="H21"/>
  <c r="M21"/>
  <c r="M104" i="120"/>
  <c r="M108"/>
  <c r="O104"/>
  <c r="O81"/>
  <c r="O85"/>
  <c r="O87"/>
  <c r="I81"/>
  <c r="J81"/>
  <c r="L81"/>
  <c r="N81"/>
  <c r="I85"/>
  <c r="J85"/>
  <c r="I87"/>
  <c r="O45"/>
  <c r="M20"/>
  <c r="I16"/>
  <c r="J16"/>
  <c r="L16"/>
  <c r="N16"/>
  <c r="Q16"/>
  <c r="O16"/>
  <c r="K101" i="124"/>
  <c r="I102"/>
  <c r="A92"/>
  <c r="E104"/>
  <c r="V102"/>
  <c r="V101"/>
  <c r="V100"/>
  <c r="V99"/>
  <c r="E40"/>
  <c r="A39" i="120"/>
  <c r="A70"/>
  <c r="A93"/>
  <c r="W113"/>
  <c r="R113"/>
  <c r="G113"/>
  <c r="X110"/>
  <c r="U110"/>
  <c r="X109"/>
  <c r="U109"/>
  <c r="X108"/>
  <c r="U108"/>
  <c r="X107"/>
  <c r="U107"/>
  <c r="X106"/>
  <c r="U106"/>
  <c r="X105"/>
  <c r="U105"/>
  <c r="X104"/>
  <c r="U104"/>
  <c r="X103"/>
  <c r="U103"/>
  <c r="X102"/>
  <c r="U102"/>
  <c r="X101"/>
  <c r="U101"/>
  <c r="X100"/>
  <c r="U100"/>
  <c r="X99"/>
  <c r="U99"/>
  <c r="X89"/>
  <c r="U89"/>
  <c r="X88"/>
  <c r="U88"/>
  <c r="X87"/>
  <c r="U87"/>
  <c r="X86"/>
  <c r="U86"/>
  <c r="X85"/>
  <c r="U85"/>
  <c r="X84"/>
  <c r="U84"/>
  <c r="X83"/>
  <c r="U83"/>
  <c r="X82"/>
  <c r="U82"/>
  <c r="X81"/>
  <c r="U81"/>
  <c r="X80"/>
  <c r="U80"/>
  <c r="X77"/>
  <c r="U77"/>
  <c r="X76"/>
  <c r="U76"/>
  <c r="X66"/>
  <c r="U66"/>
  <c r="X65"/>
  <c r="U65"/>
  <c r="X64"/>
  <c r="U64"/>
  <c r="X63"/>
  <c r="U63"/>
  <c r="X62"/>
  <c r="U62"/>
  <c r="X61"/>
  <c r="U61"/>
  <c r="X60"/>
  <c r="U60"/>
  <c r="X59"/>
  <c r="U59"/>
  <c r="X58"/>
  <c r="U58"/>
  <c r="X57"/>
  <c r="U57"/>
  <c r="X56"/>
  <c r="U56"/>
  <c r="X55"/>
  <c r="U55"/>
  <c r="X54"/>
  <c r="U54"/>
  <c r="X53"/>
  <c r="U53"/>
  <c r="X52"/>
  <c r="U52"/>
  <c r="X113"/>
  <c r="X51"/>
  <c r="U51"/>
  <c r="X50"/>
  <c r="U50"/>
  <c r="X49"/>
  <c r="U49"/>
  <c r="X48"/>
  <c r="U48"/>
  <c r="X47"/>
  <c r="U47"/>
  <c r="X46"/>
  <c r="U46"/>
  <c r="X45"/>
  <c r="U45"/>
  <c r="X35"/>
  <c r="U35"/>
  <c r="X34"/>
  <c r="U34"/>
  <c r="X33"/>
  <c r="U33"/>
  <c r="X32"/>
  <c r="U32"/>
  <c r="X31"/>
  <c r="U31"/>
  <c r="X30"/>
  <c r="U30"/>
  <c r="X29"/>
  <c r="U29"/>
  <c r="X27"/>
  <c r="U27"/>
  <c r="X26"/>
  <c r="U26"/>
  <c r="X25"/>
  <c r="U25"/>
  <c r="X24"/>
  <c r="U24"/>
  <c r="X23"/>
  <c r="U23"/>
  <c r="X22"/>
  <c r="U22"/>
  <c r="X21"/>
  <c r="U21"/>
  <c r="X20"/>
  <c r="U20"/>
  <c r="X19"/>
  <c r="U19"/>
  <c r="X18"/>
  <c r="U18"/>
  <c r="X17"/>
  <c r="U17"/>
  <c r="X16"/>
  <c r="U16"/>
  <c r="X15"/>
  <c r="U15"/>
  <c r="X14"/>
  <c r="U14"/>
  <c r="X13"/>
  <c r="U13"/>
  <c r="X12"/>
  <c r="U12"/>
  <c r="W5"/>
  <c r="U82" i="123"/>
  <c r="U80"/>
  <c r="A58"/>
  <c r="A32"/>
  <c r="I14" i="125"/>
  <c r="H17"/>
  <c r="G17"/>
  <c r="I13"/>
  <c r="I12"/>
  <c r="I17"/>
  <c r="G24" i="126"/>
  <c r="G12" i="123"/>
  <c r="K43"/>
  <c r="I43"/>
  <c r="I49"/>
  <c r="M53"/>
  <c r="K53"/>
  <c r="G84"/>
  <c r="H84"/>
  <c r="M71"/>
  <c r="G71"/>
  <c r="H71"/>
  <c r="J71"/>
  <c r="K71"/>
  <c r="I71"/>
  <c r="M16"/>
  <c r="M28"/>
  <c r="I41"/>
  <c r="I45"/>
  <c r="G47"/>
  <c r="H47"/>
  <c r="I76"/>
  <c r="G76"/>
  <c r="H76"/>
  <c r="M76"/>
  <c r="K76"/>
  <c r="M42"/>
  <c r="I46"/>
  <c r="M46"/>
  <c r="G46"/>
  <c r="H46"/>
  <c r="K46"/>
  <c r="K50"/>
  <c r="I50"/>
  <c r="M54"/>
  <c r="G54"/>
  <c r="K23"/>
  <c r="K73"/>
  <c r="G73"/>
  <c r="H73"/>
  <c r="G69"/>
  <c r="H69"/>
  <c r="M69"/>
  <c r="K69"/>
  <c r="I69"/>
  <c r="K17"/>
  <c r="I17"/>
  <c r="M25"/>
  <c r="G25"/>
  <c r="I75"/>
  <c r="M75"/>
  <c r="G75"/>
  <c r="H75"/>
  <c r="K75"/>
  <c r="I78"/>
  <c r="G78"/>
  <c r="K78"/>
  <c r="M72"/>
  <c r="K72"/>
  <c r="I72"/>
  <c r="G72"/>
  <c r="H72"/>
  <c r="M68"/>
  <c r="G68"/>
  <c r="H68"/>
  <c r="K68"/>
  <c r="I68"/>
  <c r="O89" i="120"/>
  <c r="Q89"/>
  <c r="I89"/>
  <c r="J89"/>
  <c r="L89"/>
  <c r="N89"/>
  <c r="P89"/>
  <c r="M89"/>
  <c r="K89"/>
  <c r="M12" i="126"/>
  <c r="M17"/>
  <c r="K17"/>
  <c r="M13"/>
  <c r="O13"/>
  <c r="K21"/>
  <c r="O20"/>
  <c r="K20"/>
  <c r="M20"/>
  <c r="O16"/>
  <c r="M18"/>
  <c r="I19"/>
  <c r="J19"/>
  <c r="M15"/>
  <c r="I15"/>
  <c r="J15"/>
  <c r="L15"/>
  <c r="O15"/>
  <c r="K15"/>
  <c r="I70" i="123"/>
  <c r="M52"/>
  <c r="K48"/>
  <c r="I21"/>
  <c r="G40"/>
  <c r="M14"/>
  <c r="K21"/>
  <c r="M48"/>
  <c r="K70"/>
  <c r="G14"/>
  <c r="M21"/>
  <c r="O21"/>
  <c r="K27"/>
  <c r="M70"/>
  <c r="M74"/>
  <c r="K14"/>
  <c r="P16" i="120"/>
  <c r="S16"/>
  <c r="L26"/>
  <c r="N26"/>
  <c r="P26"/>
  <c r="K54"/>
  <c r="N54"/>
  <c r="K60"/>
  <c r="I77"/>
  <c r="J77"/>
  <c r="M103"/>
  <c r="N103"/>
  <c r="P103"/>
  <c r="M64"/>
  <c r="I22"/>
  <c r="J22"/>
  <c r="L22"/>
  <c r="N22"/>
  <c r="M54"/>
  <c r="N58"/>
  <c r="P58"/>
  <c r="K77"/>
  <c r="O103"/>
  <c r="J105"/>
  <c r="O64"/>
  <c r="K64"/>
  <c r="I105"/>
  <c r="N27"/>
  <c r="O22"/>
  <c r="I61"/>
  <c r="J61"/>
  <c r="L61"/>
  <c r="N61"/>
  <c r="K100"/>
  <c r="I48"/>
  <c r="J48"/>
  <c r="L48"/>
  <c r="N48"/>
  <c r="P48"/>
  <c r="O108"/>
  <c r="M22"/>
  <c r="M48"/>
  <c r="K61"/>
  <c r="M100"/>
  <c r="I45"/>
  <c r="J45"/>
  <c r="L45"/>
  <c r="N45"/>
  <c r="P45"/>
  <c r="O48"/>
  <c r="L77"/>
  <c r="N77"/>
  <c r="O83"/>
  <c r="M83"/>
  <c r="O102"/>
  <c r="I102"/>
  <c r="J102"/>
  <c r="L102"/>
  <c r="N102"/>
  <c r="P102"/>
  <c r="M102"/>
  <c r="K102"/>
  <c r="I67"/>
  <c r="J67"/>
  <c r="L67"/>
  <c r="N67"/>
  <c r="K67"/>
  <c r="O67"/>
  <c r="J64"/>
  <c r="L64"/>
  <c r="N64"/>
  <c r="O56"/>
  <c r="I106"/>
  <c r="J106"/>
  <c r="L106"/>
  <c r="N106"/>
  <c r="P106"/>
  <c r="O106"/>
  <c r="M106"/>
  <c r="I15"/>
  <c r="J15"/>
  <c r="L15"/>
  <c r="N15"/>
  <c r="O15"/>
  <c r="I52"/>
  <c r="K15"/>
  <c r="M63"/>
  <c r="K63"/>
  <c r="I80"/>
  <c r="M109"/>
  <c r="K109"/>
  <c r="I109"/>
  <c r="J109"/>
  <c r="L109"/>
  <c r="N109"/>
  <c r="P109"/>
  <c r="M67"/>
  <c r="M24"/>
  <c r="O24"/>
  <c r="K49"/>
  <c r="O49"/>
  <c r="O18" i="126"/>
  <c r="K18"/>
  <c r="M14"/>
  <c r="O21"/>
  <c r="I21"/>
  <c r="J21"/>
  <c r="L21"/>
  <c r="N21"/>
  <c r="O14"/>
  <c r="K13"/>
  <c r="I17"/>
  <c r="J17"/>
  <c r="L17"/>
  <c r="N17"/>
  <c r="K14"/>
  <c r="I14"/>
  <c r="J14"/>
  <c r="L14"/>
  <c r="N14"/>
  <c r="P54" i="120"/>
  <c r="Q77"/>
  <c r="G18" i="124"/>
  <c r="H18"/>
  <c r="J18"/>
  <c r="I100"/>
  <c r="I22"/>
  <c r="J22"/>
  <c r="K19"/>
  <c r="G33"/>
  <c r="H33"/>
  <c r="G101"/>
  <c r="H101"/>
  <c r="K22"/>
  <c r="M24"/>
  <c r="G102"/>
  <c r="H102"/>
  <c r="M102"/>
  <c r="K102"/>
  <c r="J69" i="123"/>
  <c r="L69"/>
  <c r="N69"/>
  <c r="K41"/>
  <c r="L41"/>
  <c r="I16"/>
  <c r="L71"/>
  <c r="M84"/>
  <c r="K49"/>
  <c r="K12"/>
  <c r="J46"/>
  <c r="M41"/>
  <c r="G16"/>
  <c r="H16"/>
  <c r="J16"/>
  <c r="L16"/>
  <c r="K79"/>
  <c r="I84"/>
  <c r="H53"/>
  <c r="M49"/>
  <c r="O49"/>
  <c r="J43"/>
  <c r="L43"/>
  <c r="J72"/>
  <c r="L72"/>
  <c r="O72"/>
  <c r="Q72"/>
  <c r="J75"/>
  <c r="L75"/>
  <c r="N75"/>
  <c r="I53"/>
  <c r="H12"/>
  <c r="G79"/>
  <c r="H79"/>
  <c r="M79"/>
  <c r="N79"/>
  <c r="H78"/>
  <c r="J78"/>
  <c r="L78"/>
  <c r="K83"/>
  <c r="I27"/>
  <c r="I48"/>
  <c r="J48"/>
  <c r="L48"/>
  <c r="N72"/>
  <c r="L46"/>
  <c r="N46"/>
  <c r="M40"/>
  <c r="K40"/>
  <c r="M44"/>
  <c r="M78"/>
  <c r="N78"/>
  <c r="I25"/>
  <c r="G17"/>
  <c r="H17"/>
  <c r="J17"/>
  <c r="L17"/>
  <c r="M73"/>
  <c r="O73"/>
  <c r="M65"/>
  <c r="I54"/>
  <c r="G50"/>
  <c r="H50"/>
  <c r="J50"/>
  <c r="L50"/>
  <c r="K51"/>
  <c r="K47"/>
  <c r="I47"/>
  <c r="J47"/>
  <c r="J79"/>
  <c r="L79"/>
  <c r="L49"/>
  <c r="N49"/>
  <c r="M43"/>
  <c r="O43"/>
  <c r="I12"/>
  <c r="J12"/>
  <c r="L12"/>
  <c r="O12"/>
  <c r="G82"/>
  <c r="H82"/>
  <c r="J82"/>
  <c r="L82"/>
  <c r="J86"/>
  <c r="L86"/>
  <c r="J68"/>
  <c r="L68"/>
  <c r="N68"/>
  <c r="J70"/>
  <c r="L70"/>
  <c r="H40"/>
  <c r="J40"/>
  <c r="L40"/>
  <c r="G27"/>
  <c r="H27"/>
  <c r="J27"/>
  <c r="L27"/>
  <c r="N27"/>
  <c r="J73"/>
  <c r="L73"/>
  <c r="I51"/>
  <c r="G51"/>
  <c r="H51"/>
  <c r="J51"/>
  <c r="M39"/>
  <c r="G44"/>
  <c r="H44"/>
  <c r="I44"/>
  <c r="H25"/>
  <c r="J25"/>
  <c r="L25"/>
  <c r="N25"/>
  <c r="O69"/>
  <c r="Q69"/>
  <c r="H54"/>
  <c r="J54"/>
  <c r="L54"/>
  <c r="O54"/>
  <c r="J76"/>
  <c r="L76"/>
  <c r="J84"/>
  <c r="L84"/>
  <c r="O84"/>
  <c r="N70"/>
  <c r="O70"/>
  <c r="O78"/>
  <c r="O50"/>
  <c r="N50"/>
  <c r="N71"/>
  <c r="O71"/>
  <c r="O82"/>
  <c r="N82"/>
  <c r="N73"/>
  <c r="N43"/>
  <c r="G52"/>
  <c r="H52"/>
  <c r="I83"/>
  <c r="G23"/>
  <c r="H23"/>
  <c r="J23"/>
  <c r="L23"/>
  <c r="K65"/>
  <c r="I65"/>
  <c r="I42"/>
  <c r="G67"/>
  <c r="H67"/>
  <c r="M45"/>
  <c r="K45"/>
  <c r="G39"/>
  <c r="H39"/>
  <c r="K28"/>
  <c r="I52"/>
  <c r="H83"/>
  <c r="J83"/>
  <c r="G74"/>
  <c r="H74"/>
  <c r="J74"/>
  <c r="M83"/>
  <c r="M23"/>
  <c r="H65"/>
  <c r="K42"/>
  <c r="H42"/>
  <c r="K67"/>
  <c r="I67"/>
  <c r="H45"/>
  <c r="J45"/>
  <c r="I39"/>
  <c r="G28"/>
  <c r="H28"/>
  <c r="J28"/>
  <c r="K74"/>
  <c r="H14"/>
  <c r="Q64" i="120"/>
  <c r="P64"/>
  <c r="S64"/>
  <c r="Q61"/>
  <c r="P61"/>
  <c r="Q81"/>
  <c r="P81"/>
  <c r="S81"/>
  <c r="Q106"/>
  <c r="S106"/>
  <c r="Q22"/>
  <c r="P22"/>
  <c r="Q109"/>
  <c r="S109"/>
  <c r="Q48"/>
  <c r="S48"/>
  <c r="S89"/>
  <c r="S54"/>
  <c r="P15"/>
  <c r="Q15"/>
  <c r="Q67"/>
  <c r="P67"/>
  <c r="L105"/>
  <c r="N105"/>
  <c r="P13"/>
  <c r="Q13"/>
  <c r="Q26"/>
  <c r="S26"/>
  <c r="O28"/>
  <c r="K28"/>
  <c r="I65"/>
  <c r="O65"/>
  <c r="J65"/>
  <c r="L65"/>
  <c r="O80"/>
  <c r="Q80"/>
  <c r="K80"/>
  <c r="M80"/>
  <c r="Q102"/>
  <c r="S102"/>
  <c r="I28"/>
  <c r="J28"/>
  <c r="Q103"/>
  <c r="M14"/>
  <c r="M65"/>
  <c r="K12"/>
  <c r="I12"/>
  <c r="K56"/>
  <c r="I56"/>
  <c r="J56"/>
  <c r="L56"/>
  <c r="N56"/>
  <c r="M56"/>
  <c r="I83"/>
  <c r="J83"/>
  <c r="L83"/>
  <c r="N83"/>
  <c r="K83"/>
  <c r="K79"/>
  <c r="I79"/>
  <c r="J79"/>
  <c r="L79"/>
  <c r="N79"/>
  <c r="P79"/>
  <c r="O105"/>
  <c r="Q105"/>
  <c r="K105"/>
  <c r="P27"/>
  <c r="Q27"/>
  <c r="K52"/>
  <c r="O52"/>
  <c r="M52"/>
  <c r="O101"/>
  <c r="J101"/>
  <c r="M101"/>
  <c r="L85"/>
  <c r="N85"/>
  <c r="Q30"/>
  <c r="K101"/>
  <c r="I63"/>
  <c r="O63"/>
  <c r="J63"/>
  <c r="L63"/>
  <c r="N63"/>
  <c r="P63"/>
  <c r="O60"/>
  <c r="M60"/>
  <c r="J60"/>
  <c r="L60"/>
  <c r="Q54"/>
  <c r="M49"/>
  <c r="I49"/>
  <c r="J49"/>
  <c r="L49"/>
  <c r="L104"/>
  <c r="N104"/>
  <c r="S103"/>
  <c r="J80"/>
  <c r="L80"/>
  <c r="N80"/>
  <c r="J52"/>
  <c r="L52"/>
  <c r="Q58"/>
  <c r="S58"/>
  <c r="Q45"/>
  <c r="S45"/>
  <c r="I14"/>
  <c r="J14"/>
  <c r="L14"/>
  <c r="N14"/>
  <c r="L46"/>
  <c r="N46"/>
  <c r="L100"/>
  <c r="N100"/>
  <c r="M28"/>
  <c r="K24"/>
  <c r="I24"/>
  <c r="J24"/>
  <c r="M18"/>
  <c r="I18"/>
  <c r="J18"/>
  <c r="L18"/>
  <c r="N18"/>
  <c r="P18"/>
  <c r="O18"/>
  <c r="O66"/>
  <c r="J66"/>
  <c r="L66"/>
  <c r="M66"/>
  <c r="M62"/>
  <c r="K62"/>
  <c r="L62"/>
  <c r="N62"/>
  <c r="J87"/>
  <c r="L87"/>
  <c r="N87"/>
  <c r="M110"/>
  <c r="K110"/>
  <c r="L110"/>
  <c r="N110"/>
  <c r="J108"/>
  <c r="L108"/>
  <c r="N108"/>
  <c r="P108"/>
  <c r="K108"/>
  <c r="N52"/>
  <c r="L19" i="126"/>
  <c r="H24"/>
  <c r="O19"/>
  <c r="O24"/>
  <c r="K16"/>
  <c r="L18"/>
  <c r="N18"/>
  <c r="P18"/>
  <c r="M19"/>
  <c r="J16"/>
  <c r="L16"/>
  <c r="N16"/>
  <c r="Q16"/>
  <c r="M16"/>
  <c r="N15"/>
  <c r="Q15"/>
  <c r="M24"/>
  <c r="L20"/>
  <c r="N20"/>
  <c r="P20"/>
  <c r="L13"/>
  <c r="N13"/>
  <c r="P15"/>
  <c r="P13"/>
  <c r="Q13"/>
  <c r="Q14"/>
  <c r="P14"/>
  <c r="Q17"/>
  <c r="P17"/>
  <c r="Q21"/>
  <c r="P21"/>
  <c r="P16"/>
  <c r="K12"/>
  <c r="K24"/>
  <c r="I12"/>
  <c r="I24"/>
  <c r="O41" i="123"/>
  <c r="N41"/>
  <c r="Q41"/>
  <c r="L45"/>
  <c r="O45"/>
  <c r="L74"/>
  <c r="N84"/>
  <c r="J53"/>
  <c r="L53"/>
  <c r="O53"/>
  <c r="J65"/>
  <c r="O75"/>
  <c r="Q75"/>
  <c r="O79"/>
  <c r="Q50"/>
  <c r="J44"/>
  <c r="L44"/>
  <c r="O46"/>
  <c r="Q46"/>
  <c r="Q78"/>
  <c r="O40"/>
  <c r="N40"/>
  <c r="Q40"/>
  <c r="O48"/>
  <c r="N48"/>
  <c r="N12"/>
  <c r="Q12"/>
  <c r="N86"/>
  <c r="O86"/>
  <c r="L28"/>
  <c r="O23"/>
  <c r="L83"/>
  <c r="N83"/>
  <c r="N54"/>
  <c r="Q54"/>
  <c r="O68"/>
  <c r="Q68"/>
  <c r="O27"/>
  <c r="Q27"/>
  <c r="O25"/>
  <c r="Q25"/>
  <c r="Q73"/>
  <c r="L51"/>
  <c r="L47"/>
  <c r="J42"/>
  <c r="L42"/>
  <c r="N42"/>
  <c r="Q82"/>
  <c r="N76"/>
  <c r="O76"/>
  <c r="N74"/>
  <c r="O74"/>
  <c r="N28"/>
  <c r="O28"/>
  <c r="N45"/>
  <c r="J67"/>
  <c r="L67"/>
  <c r="N23"/>
  <c r="Q23"/>
  <c r="Q43"/>
  <c r="Q84"/>
  <c r="Q49"/>
  <c r="Q79"/>
  <c r="Q70"/>
  <c r="L65"/>
  <c r="J39"/>
  <c r="L39"/>
  <c r="J52"/>
  <c r="L52"/>
  <c r="Q71"/>
  <c r="J14"/>
  <c r="P62" i="120"/>
  <c r="Q62"/>
  <c r="P110"/>
  <c r="Q110"/>
  <c r="P14"/>
  <c r="Q14"/>
  <c r="S108"/>
  <c r="N66"/>
  <c r="P66"/>
  <c r="S13"/>
  <c r="P105"/>
  <c r="S105"/>
  <c r="Q108"/>
  <c r="Q66"/>
  <c r="L24"/>
  <c r="N24"/>
  <c r="Q100"/>
  <c r="P100"/>
  <c r="P80"/>
  <c r="S80"/>
  <c r="P104"/>
  <c r="S104"/>
  <c r="Q104"/>
  <c r="N60"/>
  <c r="P60"/>
  <c r="Q63"/>
  <c r="S63"/>
  <c r="Q101"/>
  <c r="S27"/>
  <c r="J12"/>
  <c r="S15"/>
  <c r="Q87"/>
  <c r="P87"/>
  <c r="S87"/>
  <c r="S18"/>
  <c r="Q46"/>
  <c r="P46"/>
  <c r="S46"/>
  <c r="Q60"/>
  <c r="P85"/>
  <c r="S85"/>
  <c r="Q85"/>
  <c r="P83"/>
  <c r="Q83"/>
  <c r="P56"/>
  <c r="S56"/>
  <c r="Q56"/>
  <c r="L101"/>
  <c r="N101"/>
  <c r="P101"/>
  <c r="N65"/>
  <c r="P65"/>
  <c r="Q18"/>
  <c r="Q79"/>
  <c r="S79"/>
  <c r="N49"/>
  <c r="L28"/>
  <c r="N28"/>
  <c r="P28"/>
  <c r="S67"/>
  <c r="S22"/>
  <c r="S61"/>
  <c r="P52"/>
  <c r="S52"/>
  <c r="Q52"/>
  <c r="S16" i="126"/>
  <c r="Q19"/>
  <c r="Q20"/>
  <c r="S20"/>
  <c r="S15"/>
  <c r="N19"/>
  <c r="P19"/>
  <c r="S17"/>
  <c r="Q18"/>
  <c r="S18"/>
  <c r="S13"/>
  <c r="J12"/>
  <c r="S21"/>
  <c r="S14"/>
  <c r="O42" i="123"/>
  <c r="Q42"/>
  <c r="Q76"/>
  <c r="O44"/>
  <c r="N44"/>
  <c r="Q48"/>
  <c r="Q45"/>
  <c r="N53"/>
  <c r="Q53"/>
  <c r="O83"/>
  <c r="Q83"/>
  <c r="N51"/>
  <c r="O51"/>
  <c r="N47"/>
  <c r="O47"/>
  <c r="Q86"/>
  <c r="N65"/>
  <c r="Q65"/>
  <c r="O65"/>
  <c r="N67"/>
  <c r="O67"/>
  <c r="N52"/>
  <c r="Q52"/>
  <c r="O52"/>
  <c r="N39"/>
  <c r="O39"/>
  <c r="Q28"/>
  <c r="Q74"/>
  <c r="L14"/>
  <c r="S101" i="120"/>
  <c r="S28"/>
  <c r="S110"/>
  <c r="S60"/>
  <c r="S100"/>
  <c r="Q65"/>
  <c r="S65"/>
  <c r="P24"/>
  <c r="Q24"/>
  <c r="P49"/>
  <c r="S49"/>
  <c r="Q49"/>
  <c r="L12"/>
  <c r="S83"/>
  <c r="S66"/>
  <c r="S14"/>
  <c r="S62"/>
  <c r="S19" i="126"/>
  <c r="L12"/>
  <c r="J24"/>
  <c r="Q44" i="123"/>
  <c r="Q39"/>
  <c r="Q51"/>
  <c r="Q47"/>
  <c r="Q67"/>
  <c r="N12" i="120"/>
  <c r="S24"/>
  <c r="L24" i="126"/>
  <c r="N12"/>
  <c r="P12" i="120"/>
  <c r="Q12"/>
  <c r="N24" i="126"/>
  <c r="P12"/>
  <c r="Q12"/>
  <c r="Q24"/>
  <c r="P24"/>
  <c r="S12"/>
  <c r="S24"/>
  <c r="J35" i="120"/>
  <c r="L35"/>
  <c r="O35"/>
  <c r="M35"/>
  <c r="N35"/>
  <c r="P35"/>
  <c r="Q35"/>
  <c r="S35"/>
  <c r="M22" i="124"/>
  <c r="G80" i="123"/>
  <c r="H80"/>
  <c r="G100" i="124"/>
  <c r="H100"/>
  <c r="J100"/>
  <c r="M99"/>
  <c r="M100"/>
  <c r="K33"/>
  <c r="M33"/>
  <c r="G21"/>
  <c r="K21"/>
  <c r="I16"/>
  <c r="G23"/>
  <c r="H23"/>
  <c r="K16"/>
  <c r="G16"/>
  <c r="H16"/>
  <c r="J16"/>
  <c r="K19" i="123"/>
  <c r="I19"/>
  <c r="M19"/>
  <c r="F87"/>
  <c r="J19"/>
  <c r="L19"/>
  <c r="M50" i="120"/>
  <c r="H113"/>
  <c r="K50"/>
  <c r="L50"/>
  <c r="N50"/>
  <c r="P50"/>
  <c r="Q50"/>
  <c r="S50"/>
  <c r="O57"/>
  <c r="M57"/>
  <c r="J57"/>
  <c r="K57"/>
  <c r="L57"/>
  <c r="N57"/>
  <c r="P57"/>
  <c r="Q57"/>
  <c r="S57"/>
  <c r="N17" i="123"/>
  <c r="O17"/>
  <c r="N16"/>
  <c r="O16"/>
  <c r="O20" i="120"/>
  <c r="I20"/>
  <c r="M37" i="124"/>
  <c r="K37"/>
  <c r="G30"/>
  <c r="I37"/>
  <c r="G32"/>
  <c r="K30"/>
  <c r="Q17" i="123"/>
  <c r="Q16"/>
  <c r="J20" i="120"/>
  <c r="L20"/>
  <c r="N20"/>
  <c r="P20"/>
  <c r="Q20"/>
  <c r="S20"/>
  <c r="K80" i="123"/>
  <c r="M80"/>
  <c r="M38" i="124"/>
  <c r="I32" i="120"/>
  <c r="O32"/>
  <c r="K32"/>
  <c r="J32"/>
  <c r="L32"/>
  <c r="N32"/>
  <c r="P32"/>
  <c r="Q32"/>
  <c r="S32"/>
  <c r="M29" i="124"/>
  <c r="K29"/>
  <c r="O33" i="120"/>
  <c r="O113"/>
  <c r="M33"/>
  <c r="M113"/>
  <c r="M11" i="130"/>
  <c r="I34" i="124"/>
  <c r="G34"/>
  <c r="H34"/>
  <c r="J34"/>
  <c r="L34"/>
  <c r="N34"/>
  <c r="M20"/>
  <c r="I20"/>
  <c r="L16"/>
  <c r="N16"/>
  <c r="M18"/>
  <c r="M35"/>
  <c r="M34"/>
  <c r="H20"/>
  <c r="K20"/>
  <c r="M31"/>
  <c r="K18"/>
  <c r="M104"/>
  <c r="G99"/>
  <c r="H99"/>
  <c r="L100"/>
  <c r="O100"/>
  <c r="F104"/>
  <c r="M23"/>
  <c r="I101"/>
  <c r="I104"/>
  <c r="L22"/>
  <c r="G27"/>
  <c r="H27"/>
  <c r="J27"/>
  <c r="L27"/>
  <c r="N27"/>
  <c r="I99"/>
  <c r="G36"/>
  <c r="H36"/>
  <c r="K23"/>
  <c r="K27"/>
  <c r="I38"/>
  <c r="J33"/>
  <c r="L33"/>
  <c r="O33"/>
  <c r="I27"/>
  <c r="I19"/>
  <c r="M25"/>
  <c r="G25"/>
  <c r="H25"/>
  <c r="J25"/>
  <c r="L25"/>
  <c r="I35"/>
  <c r="J37"/>
  <c r="L37"/>
  <c r="N37"/>
  <c r="G31"/>
  <c r="H31"/>
  <c r="J31"/>
  <c r="K25"/>
  <c r="G35"/>
  <c r="H35"/>
  <c r="O22"/>
  <c r="K104"/>
  <c r="K31"/>
  <c r="J23"/>
  <c r="L18"/>
  <c r="N18"/>
  <c r="H21"/>
  <c r="J21"/>
  <c r="L21"/>
  <c r="K17"/>
  <c r="K28"/>
  <c r="M28"/>
  <c r="I28"/>
  <c r="G28"/>
  <c r="H28"/>
  <c r="J28"/>
  <c r="L28"/>
  <c r="N22"/>
  <c r="I32"/>
  <c r="H32"/>
  <c r="M32"/>
  <c r="K32"/>
  <c r="O37"/>
  <c r="Q37"/>
  <c r="J102"/>
  <c r="L102"/>
  <c r="N102"/>
  <c r="G15"/>
  <c r="H15"/>
  <c r="K15"/>
  <c r="M15"/>
  <c r="I15"/>
  <c r="N100"/>
  <c r="Q100"/>
  <c r="G104"/>
  <c r="M30"/>
  <c r="I30"/>
  <c r="H30"/>
  <c r="I24"/>
  <c r="G24"/>
  <c r="K24"/>
  <c r="O16"/>
  <c r="Q16"/>
  <c r="G29"/>
  <c r="H29"/>
  <c r="K36"/>
  <c r="I36"/>
  <c r="G17"/>
  <c r="H17"/>
  <c r="I17"/>
  <c r="I29"/>
  <c r="G19"/>
  <c r="H19"/>
  <c r="K38"/>
  <c r="M21"/>
  <c r="H38"/>
  <c r="J80" i="123"/>
  <c r="L80"/>
  <c r="N80"/>
  <c r="N87"/>
  <c r="Q21"/>
  <c r="I33" i="120"/>
  <c r="N33" i="124"/>
  <c r="J36"/>
  <c r="L23"/>
  <c r="N23"/>
  <c r="J20"/>
  <c r="L20"/>
  <c r="O34"/>
  <c r="Q34"/>
  <c r="O18"/>
  <c r="Q18"/>
  <c r="L31"/>
  <c r="J101"/>
  <c r="L101"/>
  <c r="O21"/>
  <c r="Q33"/>
  <c r="J19"/>
  <c r="L19"/>
  <c r="N19"/>
  <c r="L36"/>
  <c r="N36"/>
  <c r="N31"/>
  <c r="O31"/>
  <c r="J35"/>
  <c r="L35"/>
  <c r="J32"/>
  <c r="L32"/>
  <c r="N32"/>
  <c r="Q22"/>
  <c r="O23"/>
  <c r="Q23"/>
  <c r="J99"/>
  <c r="H104"/>
  <c r="O19"/>
  <c r="Q19"/>
  <c r="J29"/>
  <c r="L29"/>
  <c r="J15"/>
  <c r="L15"/>
  <c r="N15"/>
  <c r="J17"/>
  <c r="L17"/>
  <c r="J30"/>
  <c r="L30"/>
  <c r="N30"/>
  <c r="N21"/>
  <c r="Q21"/>
  <c r="O102"/>
  <c r="Q102"/>
  <c r="J38"/>
  <c r="O80" i="123"/>
  <c r="O87"/>
  <c r="I113" i="120"/>
  <c r="J33"/>
  <c r="O32" i="124"/>
  <c r="Q32"/>
  <c r="N20"/>
  <c r="Q20"/>
  <c r="O20"/>
  <c r="O36"/>
  <c r="Q36"/>
  <c r="O101"/>
  <c r="N101"/>
  <c r="O35"/>
  <c r="N35"/>
  <c r="Q35"/>
  <c r="Q31"/>
  <c r="O15"/>
  <c r="Q15"/>
  <c r="O30"/>
  <c r="Q30"/>
  <c r="N17"/>
  <c r="O17"/>
  <c r="N29"/>
  <c r="O29"/>
  <c r="J104"/>
  <c r="L99"/>
  <c r="L38"/>
  <c r="Q80" i="123"/>
  <c r="Q87"/>
  <c r="C10" i="130"/>
  <c r="G10"/>
  <c r="L33" i="120"/>
  <c r="J113"/>
  <c r="Q29" i="124"/>
  <c r="Q101"/>
  <c r="L104"/>
  <c r="N99"/>
  <c r="O99"/>
  <c r="O104"/>
  <c r="Q17"/>
  <c r="N38"/>
  <c r="O38"/>
  <c r="L113" i="120"/>
  <c r="N33"/>
  <c r="N104" i="124"/>
  <c r="Q99"/>
  <c r="Q104"/>
  <c r="C12" i="130"/>
  <c r="G12"/>
  <c r="Q38" i="124"/>
  <c r="P33" i="120"/>
  <c r="N113"/>
  <c r="Q33"/>
  <c r="Q113"/>
  <c r="S33"/>
  <c r="S113"/>
  <c r="C9" i="130"/>
  <c r="P113" i="120"/>
  <c r="G9" i="130"/>
  <c r="N28" i="124"/>
  <c r="O28"/>
  <c r="O27"/>
  <c r="Q27"/>
  <c r="Q28"/>
  <c r="N25"/>
  <c r="O25"/>
  <c r="M26"/>
  <c r="M40"/>
  <c r="K26"/>
  <c r="K40"/>
  <c r="F40"/>
  <c r="G26"/>
  <c r="G40"/>
  <c r="I40"/>
  <c r="H24"/>
  <c r="Q25"/>
  <c r="H26"/>
  <c r="J26"/>
  <c r="L26"/>
  <c r="J24"/>
  <c r="H40"/>
  <c r="N26"/>
  <c r="Q26"/>
  <c r="O26"/>
  <c r="J40"/>
  <c r="L24"/>
  <c r="N24"/>
  <c r="O24"/>
  <c r="O40"/>
  <c r="L40"/>
  <c r="Q24"/>
  <c r="Q40"/>
  <c r="C11" i="130"/>
  <c r="N40" i="124"/>
  <c r="C16" i="130"/>
  <c r="C23" l="1"/>
  <c r="G11"/>
  <c r="G16" s="1"/>
  <c r="E16"/>
</calcChain>
</file>

<file path=xl/sharedStrings.xml><?xml version="1.0" encoding="utf-8"?>
<sst xmlns="http://schemas.openxmlformats.org/spreadsheetml/2006/main" count="792" uniqueCount="318">
  <si>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</si>
  <si>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</si>
  <si>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</si>
  <si>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</si>
  <si>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</si>
  <si>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</si>
  <si>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</si>
  <si>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</si>
  <si>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</si>
  <si>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</si>
  <si>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</si>
  <si>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</si>
  <si>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</si>
  <si>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</si>
  <si>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</si>
  <si>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</si>
  <si>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</si>
  <si>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</si>
  <si>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</si>
  <si>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</si>
  <si>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</si>
  <si>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</si>
  <si>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</si>
  <si>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</si>
  <si>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</si>
  <si>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DIR.PARTICIPACION CIUDADANA</t>
  </si>
  <si>
    <t>OFICIAL MAYOR ADMVO.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</si>
  <si>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</si>
  <si>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</si>
  <si>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</si>
  <si>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</si>
  <si>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</si>
  <si>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</si>
  <si>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</si>
  <si>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</si>
  <si>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</si>
  <si>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</si>
  <si>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</si>
  <si>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</si>
  <si>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</si>
  <si>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</si>
  <si>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</si>
  <si>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</si>
  <si>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</si>
  <si>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</si>
  <si>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</si>
  <si>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</si>
  <si>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</si>
  <si>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</si>
  <si>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DEPTO. DE PROM. Y DES. ECONOMICO</t>
  </si>
  <si>
    <t>DIR. DE PROM.ECONOMICA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</si>
  <si>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</si>
  <si>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</si>
  <si>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</si>
  <si>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</si>
  <si>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</si>
  <si>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</si>
  <si>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</si>
  <si>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</si>
  <si>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</si>
  <si>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</si>
  <si>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</si>
  <si>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</si>
  <si>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</si>
  <si>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</si>
  <si>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</si>
  <si>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RAMIREZ CURIEL ELIDIA</t>
  </si>
  <si>
    <t>AUX DE INTENDENCIA</t>
  </si>
  <si>
    <t>DEPTO. DE TURISMO Y DEPORTES</t>
  </si>
  <si>
    <t>DOMINGUEZ OCAMPO ANTONIO</t>
  </si>
  <si>
    <t>CRONISTA</t>
  </si>
  <si>
    <t>SEGURIDAD PUBLICA</t>
  </si>
  <si>
    <t>DIRECTOR</t>
  </si>
  <si>
    <t>POLICIA DE LINEA</t>
  </si>
  <si>
    <t>COMANDANTE</t>
  </si>
  <si>
    <t>NUÑO SANTIAGO GENOVEVA</t>
  </si>
  <si>
    <t>ENC. DE MERCADO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</si>
  <si>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</si>
  <si>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</si>
  <si>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</si>
  <si>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</si>
  <si>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</si>
  <si>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</si>
  <si>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</si>
  <si>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</si>
  <si>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</si>
  <si>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</si>
  <si>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</si>
  <si>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RAMIREZ ROJAS JOSE LUIS</t>
  </si>
  <si>
    <t>PERSONAL SUPERNUMERIARIO</t>
  </si>
  <si>
    <t>DEPTO.DE MANTO.DE VEHICULOS</t>
  </si>
  <si>
    <t>AUX. DE PART. CIUDADANA</t>
  </si>
  <si>
    <t>MONTES GAMBOA CECILIO</t>
  </si>
  <si>
    <t>OFICIAL MAYOR DE PADRON.</t>
  </si>
  <si>
    <t>VALLE BARRIENTOS HERIBERTO</t>
  </si>
  <si>
    <t>MORALES QUINTANAR JOSE LUIS</t>
  </si>
  <si>
    <t>MONTES MONTES JORGE LUIS</t>
  </si>
  <si>
    <t>RECEPCIONISTA</t>
  </si>
  <si>
    <t xml:space="preserve">OFICIALIA MAYOR </t>
  </si>
  <si>
    <t>CONSERJE</t>
  </si>
  <si>
    <t>HERNANDEZ GARCIA AGUSTIN</t>
  </si>
  <si>
    <t>RAMIREZ FLORES EVA</t>
  </si>
  <si>
    <t>ENC. UNIDAD DEPORTIVA</t>
  </si>
  <si>
    <t>DIRECCION DE PART. CIUDADANA</t>
  </si>
  <si>
    <t>RAMIREZ MEZA JOSE LUIS</t>
  </si>
  <si>
    <t>ENC. DE BOMBA SN PEDRO</t>
  </si>
  <si>
    <t>AGENTE MUNCIPAL ESTANCITA</t>
  </si>
  <si>
    <t>GONZALEZ MEZA SANDRA YANET</t>
  </si>
  <si>
    <t>VELADOR PLANTA</t>
  </si>
  <si>
    <t>DEPARTAMENTO DE CULTURA Y EDUCACION</t>
  </si>
  <si>
    <t>DEPARTAMENTO DE CATASTRO</t>
  </si>
  <si>
    <t>DEPARTAMENTO DE INGRESOS</t>
  </si>
  <si>
    <t>RAMIREZ ROJAS ELIAS</t>
  </si>
  <si>
    <t>AGENTE MUNCIPAL SANTIAGUITO</t>
  </si>
  <si>
    <t>AGENTE MUNCIPAL SAN PEDRO</t>
  </si>
  <si>
    <t>DIRECCION DE CULTURA Y EDUCACION</t>
  </si>
  <si>
    <t>FLORES GOMEZ MARIA ISABEL</t>
  </si>
  <si>
    <t>MONTES SANDOVAL JORGE</t>
  </si>
  <si>
    <t>ESPARZA IBARRA EDGAR</t>
  </si>
  <si>
    <t>DEPTO. DE CULTURA Y EDUCACION</t>
  </si>
  <si>
    <t>RUIZ CARRILLO JORGE</t>
  </si>
  <si>
    <t>NAVARRO CAMACHO ARMANDO</t>
  </si>
  <si>
    <t>AUXILIAR DE SERVICIOS</t>
  </si>
  <si>
    <t>MERCADO OLVERA JOSE ANTONIO</t>
  </si>
  <si>
    <t>CARRILLO MONTES JOSE LUIS</t>
  </si>
  <si>
    <t>SALA DE REGIDORES</t>
  </si>
  <si>
    <t>MENDEZ GARCIA BEATRIZ</t>
  </si>
  <si>
    <t>VELADOR GARCIA MARIA ERICA</t>
  </si>
  <si>
    <t>FLORES ALVAREZ IRMA</t>
  </si>
  <si>
    <t>DEPARTAMENTO JURIDICO Y JUZGADO</t>
  </si>
  <si>
    <t>UNIDAD DE TRANSPARENCIA</t>
  </si>
  <si>
    <t>TITULAR</t>
  </si>
  <si>
    <t>LOPEZ BARAJAS JOSE MARTIN</t>
  </si>
  <si>
    <t>MEZA RUBIO JORGE HUMBERTO</t>
  </si>
  <si>
    <t>CARDONA GLEZ JABAL JAFET</t>
  </si>
  <si>
    <t>RENTERIA ZUÑIGA JOSE</t>
  </si>
  <si>
    <t>DIR SERVICIOS MED.</t>
  </si>
  <si>
    <t>NAVARRO CAMARENA ESPERANZA</t>
  </si>
  <si>
    <t>GARCIA MELENDREZ IGNACIO</t>
  </si>
  <si>
    <t>GOMEZ MEZA ANA NALLELI</t>
  </si>
  <si>
    <t>AUX DE TRANSPARENCIA</t>
  </si>
  <si>
    <t>JUAREZ VALDERRAMA SONIA</t>
  </si>
  <si>
    <t>SERVICIOS PUBLICOS</t>
  </si>
  <si>
    <t>GARCIA CABRERA JOSE FABIAN</t>
  </si>
  <si>
    <t>LOPEZ GARCIA IVAN</t>
  </si>
  <si>
    <t>ENC. ECA</t>
  </si>
  <si>
    <t>RAMOS VELADOR LAZARO</t>
  </si>
  <si>
    <t>DEPARTAMENTO DE SERVICIOS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</si>
  <si>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</si>
  <si>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</si>
  <si>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</si>
  <si>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</si>
  <si>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</si>
  <si>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</si>
  <si>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SERRATOS VALADEZ FILIBERTO</t>
  </si>
  <si>
    <t>ENC BOMBA</t>
  </si>
  <si>
    <t xml:space="preserve">DIR. CATASTRO E IMPUESTO </t>
  </si>
  <si>
    <t>SANCHEZ GONZALEZ JOSE ANTONIO</t>
  </si>
  <si>
    <t>ZUÑIGA DOMINGUEZ OSCAR</t>
  </si>
  <si>
    <t>JOSE ANTONIO SANCHEZ GONZALEZ</t>
  </si>
  <si>
    <t>Departamento:</t>
  </si>
  <si>
    <t>Regidores</t>
  </si>
  <si>
    <t>PEREZ SERRATOS ISABEL</t>
  </si>
  <si>
    <t>AGENTE MUNCIPAL  PROVIDENCIA</t>
  </si>
  <si>
    <t>ALBA CORDOBA BENJAMIN</t>
  </si>
  <si>
    <t>SOLORZANO LOPEZ CARLOS ALBERTO</t>
  </si>
  <si>
    <t>AGENTE MUNCIPAL TRAPICHE</t>
  </si>
  <si>
    <t>AGENTE MUNCIPAL EL AZAFRAN</t>
  </si>
  <si>
    <t>AGENTE MUNCIPAL ESTANCIA DE AYLLONES</t>
  </si>
  <si>
    <t>SOTO HERNANEDEZ J. REFUGIO</t>
  </si>
  <si>
    <t>________________________________________</t>
  </si>
  <si>
    <t>_____________________________________</t>
  </si>
  <si>
    <t>___________________________________</t>
  </si>
  <si>
    <t>DEPARTAMENTO DE OBRAS PUBLICAS</t>
  </si>
  <si>
    <t>MARIA FELIX ORENDAIN DAMIAN</t>
  </si>
  <si>
    <t>ABRAHAM EMMANUEL AVILA RAMIREZ</t>
  </si>
  <si>
    <t>DELIA NORA RANGEL ROSAS</t>
  </si>
  <si>
    <t>SANDRA REYNOSO RUVALCABA</t>
  </si>
  <si>
    <t>JUAN DAVID GARCIA LOPEZ</t>
  </si>
  <si>
    <t>ERNESTO CARRILLO MONTES</t>
  </si>
  <si>
    <t>RAFAEL RUBIO AYON</t>
  </si>
  <si>
    <t>PEDRO MIRAMONTES LOPEZ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</si>
  <si>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</si>
  <si>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</si>
  <si>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</si>
  <si>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</si>
  <si>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</si>
  <si>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</si>
  <si>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>SERVICIOS MEDICOS MUNICIPALES</t>
  </si>
  <si>
    <t>SECRETARIA GENERAL</t>
  </si>
  <si>
    <t xml:space="preserve">ENC. DE PANTEON </t>
  </si>
  <si>
    <t>HERNANDEZ MUÑOZ FERNANDO</t>
  </si>
  <si>
    <t>CERVANTES MEZA MANUEL</t>
  </si>
  <si>
    <t>CARBAJAL MONTES OLIVIA</t>
  </si>
  <si>
    <t>HERNANDEZ FLORES REYNA ELIZABETH</t>
  </si>
  <si>
    <t>ENC. DE BIBLIOTECA</t>
  </si>
  <si>
    <t>HERNANDEZ JIMENEZ JUAN MANUEL</t>
  </si>
  <si>
    <t>RIVAS RIVAS SALVADOR</t>
  </si>
  <si>
    <t>GONZALEZ RODRIGUEZ BLANCA ESTELA</t>
  </si>
  <si>
    <t>GONZALEZ CORTES HERLINDA</t>
  </si>
  <si>
    <t>NAVARRO HUERTA CAROLNA</t>
  </si>
  <si>
    <t>RODRIGO SANCHEZ SANTIAGO</t>
  </si>
  <si>
    <t>RAMIREZ GONZALEZ ADELA</t>
  </si>
  <si>
    <t>JUZGADO MUNICIPAL</t>
  </si>
  <si>
    <t>JUEZ</t>
  </si>
  <si>
    <t>ANDRADE CASTILLO JOSE ANTONIO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</si>
  <si>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</si>
  <si>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</si>
  <si>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</si>
  <si>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</si>
  <si>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</si>
  <si>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>CARRILLO YAÑEZ JOSE ROBERTO</t>
  </si>
  <si>
    <t xml:space="preserve">SECRETARIA GENERAL </t>
  </si>
  <si>
    <t>CONTRALOR</t>
  </si>
  <si>
    <t>ENC. DE PARADERO</t>
  </si>
  <si>
    <t>AUX. DE DEPORTES</t>
  </si>
  <si>
    <t>CORONEL HERRERA JORGE EDUARDO</t>
  </si>
  <si>
    <t>HECTOR FAVIAN ESPARZA MENDOZA</t>
  </si>
  <si>
    <t>AUXILIAR DE CATASTRO</t>
  </si>
  <si>
    <t>DIR. DE TURISMO Y EDUCACION</t>
  </si>
  <si>
    <t>MONTES PEREZ JULIA VERONICA</t>
  </si>
  <si>
    <t>JOSE RAFAEL RODRIGUEZ OLMEDO</t>
  </si>
  <si>
    <t>SUBDIRECTOR ADMINISTRATIVO</t>
  </si>
  <si>
    <t>Percepción</t>
  </si>
  <si>
    <t xml:space="preserve">PERSONAL PERMANANTE </t>
  </si>
  <si>
    <t>SEGURIDAD  PUBLICA</t>
  </si>
  <si>
    <t>PROTECCION CIVIL</t>
  </si>
  <si>
    <t>TOTAL</t>
  </si>
  <si>
    <t>SUPERNUMERARIOS</t>
  </si>
  <si>
    <t>QUINCENAL</t>
  </si>
  <si>
    <t>PERCEPCION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</si>
  <si>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</si>
  <si>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</si>
  <si>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</si>
  <si>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</si>
  <si>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</si>
  <si>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</si>
  <si>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</si>
  <si>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</si>
  <si>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PROTECCIN CIVIL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</si>
  <si>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</si>
  <si>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</si>
  <si>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</si>
  <si>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</si>
  <si>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</si>
  <si>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</si>
  <si>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</si>
  <si>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</si>
  <si>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CORONA GONZALEZ NOEMI JOHANA</t>
  </si>
  <si>
    <t>MONTES VALLADOLID HOREI AMNERIS</t>
  </si>
  <si>
    <t>AUX. JUZGADO MPAL</t>
  </si>
  <si>
    <t>ISAAC RAMIREZ PEREZ</t>
  </si>
  <si>
    <t>ANA BERTA RODRIGUEZ GONZALEZ</t>
  </si>
  <si>
    <t>MEZA MEZA MARCO ANTONIO</t>
  </si>
  <si>
    <t>CRECENCIO TALAMANTES LAMAS</t>
  </si>
  <si>
    <t>MERCADO SANTIAGO JOSE DE JESUS</t>
  </si>
  <si>
    <t>OFICIAL DE REGISTRO CIVIL</t>
  </si>
  <si>
    <t>RODRIGUEZ BECERRA ENGELS</t>
  </si>
  <si>
    <t>PROMOTOR DEL DEPORTE</t>
  </si>
  <si>
    <t>C. JOSE ANTONIO SANCHEZ GONZALEZ</t>
  </si>
  <si>
    <t>COMUNICACIÓN SOCIAL</t>
  </si>
  <si>
    <t>CRISTIAN SERVANDO RUIZ MONTES</t>
  </si>
  <si>
    <t>ENC. DE COMUNICACIÓN SOCIAL</t>
  </si>
  <si>
    <t>GUADALUPE JANETH AMAYA RAMOS</t>
  </si>
  <si>
    <t>Límite Inferior</t>
  </si>
  <si>
    <t>Límite Superior</t>
  </si>
  <si>
    <t>Cuota Fija</t>
  </si>
  <si>
    <t xml:space="preserve">% S/Eexced. Límite inferior </t>
  </si>
  <si>
    <t>TABLAS Y TARIFAS QUINCENAL 2018</t>
  </si>
  <si>
    <t>TABLA DE SUBSIDIO PARA EL EMPLEO 2018</t>
  </si>
  <si>
    <t>TARIFA</t>
  </si>
  <si>
    <t>I.S.R.</t>
  </si>
  <si>
    <t>Limite</t>
  </si>
  <si>
    <t>Excedente</t>
  </si>
  <si>
    <t>Impuesto</t>
  </si>
  <si>
    <t>Cuota</t>
  </si>
  <si>
    <t>a Cargo</t>
  </si>
  <si>
    <t>Inferior</t>
  </si>
  <si>
    <t>Limite Inf.</t>
  </si>
  <si>
    <t>Marginal</t>
  </si>
  <si>
    <t>Fija</t>
  </si>
  <si>
    <t>Bruto</t>
  </si>
  <si>
    <t xml:space="preserve">Tasa aplicable </t>
  </si>
  <si>
    <t>subsidio</t>
  </si>
  <si>
    <t>al empleo</t>
  </si>
  <si>
    <t>A FAVOR</t>
  </si>
  <si>
    <t xml:space="preserve">SUBSIDIO </t>
  </si>
  <si>
    <t>En adelante</t>
  </si>
  <si>
    <t>L.C.P.CARLOS ARMANDO REGALADO SIERRA</t>
  </si>
  <si>
    <t>L.C.P. CARLOS ARMANDO REGALADO SIERRA</t>
  </si>
  <si>
    <t>2 0 1 8</t>
  </si>
  <si>
    <t>DIR. DE PLANE Y DESARROLLO MUNICIPAL</t>
  </si>
  <si>
    <t>L.C.P CARLOS ARMANDO REGALADO SIERRA</t>
  </si>
  <si>
    <t>CARLOS ARMANDO REGALADO SIERRA</t>
  </si>
  <si>
    <t>ENCARGADO DE HACIENDA PUBLICA MUNICIPAL</t>
  </si>
  <si>
    <t>____________________________________________</t>
  </si>
  <si>
    <t>DISPERSION</t>
  </si>
  <si>
    <t>EFECTIVO</t>
  </si>
  <si>
    <t>NOMINA</t>
  </si>
  <si>
    <t>REGIDORES</t>
  </si>
  <si>
    <t>AMARRE</t>
  </si>
  <si>
    <t>JUBILADOS</t>
  </si>
  <si>
    <t>ORDEN DE PAGO</t>
  </si>
  <si>
    <t>CHEQUE GTO CORRIENTE</t>
  </si>
  <si>
    <t>CHEQUE FORTA</t>
  </si>
  <si>
    <t>GTO CORRIENTE A NOM</t>
  </si>
  <si>
    <t>FORTA A NOM</t>
  </si>
  <si>
    <t>ARCELIA GARCIA LOPEZ</t>
  </si>
  <si>
    <t>p</t>
  </si>
  <si>
    <t>s</t>
  </si>
  <si>
    <t>S</t>
  </si>
  <si>
    <t>NOMINA DE DIETAS 2DA QUINCENA DEL MES DE AGOSTO  DE 2018</t>
  </si>
  <si>
    <t>ARMANDO MEZA AVILA</t>
  </si>
  <si>
    <t>SUELDOS 2DA QUINCENA DEL MES DE AGOSTO DE 2018</t>
  </si>
  <si>
    <t>SUELDOS 2DA QUINCENA DE AGOSTO DE 2018</t>
  </si>
  <si>
    <t>CH</t>
  </si>
  <si>
    <t>SUELDOS 2DA QUINCENA DE AGOSTO DE  2018</t>
  </si>
  <si>
    <t>SUELDOS  2DA QUINCENA DE AGOSTO DE 2018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</si>
</sst>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_-&quot;$&quot;* #,##0.0_-;\-&quot;$&quot;* #,##0.0_-;_-&quot;$&quot;* &quot;-&quot;??_-;_-@_-"/>
    <numFmt numFmtId="167" formatCode="#,##0_ ;[Red]\-#,##0\ "/>
  </numFmts>
  <fonts count="2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4"/>
      <color indexed="18"/>
      <name val="Verdana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12"/>
      <color indexed="17"/>
      <name val="Verdana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color theme="0" tint="-0.34998626667073579"/>
      <name val="Arial"/>
      <family val="2"/>
    </font>
    <font>
      <sz val="8"/>
      <color theme="0" tint="-0.499984740745262"/>
      <name val="Arial"/>
      <family val="2"/>
    </font>
    <font>
      <sz val="9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b/>
      <sz val="14"/>
      <color rgb="FF00B050"/>
      <name val="Verdana"/>
      <family val="2"/>
    </font>
    <font>
      <b/>
      <sz val="12"/>
      <color rgb="FF00B05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70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3" fillId="0" borderId="0" xfId="0" applyFont="1" applyFill="1" applyBorder="1" applyAlignment="1" applyProtection="1">
      <alignment horizontal="center"/>
    </xf>
    <xf numFmtId="165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5" fontId="1" fillId="0" borderId="2" xfId="2" applyNumberFormat="1" applyFont="1" applyFill="1" applyBorder="1" applyAlignment="1" applyProtection="1">
      <alignment horizontal="right"/>
    </xf>
    <xf numFmtId="165" fontId="1" fillId="0" borderId="2" xfId="2" applyNumberFormat="1" applyFont="1" applyBorder="1" applyAlignment="1" applyProtection="1">
      <alignment horizontal="right"/>
      <protection locked="0"/>
    </xf>
    <xf numFmtId="165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3" fillId="0" borderId="3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165" fontId="0" fillId="0" borderId="0" xfId="0" applyNumberFormat="1" applyProtection="1"/>
    <xf numFmtId="0" fontId="1" fillId="0" borderId="0" xfId="0" applyFont="1" applyBorder="1" applyAlignment="1" applyProtection="1">
      <alignment horizontal="left"/>
      <protection locked="0"/>
    </xf>
    <xf numFmtId="0" fontId="13" fillId="2" borderId="0" xfId="0" applyFont="1" applyFill="1" applyProtection="1"/>
    <xf numFmtId="0" fontId="13" fillId="0" borderId="0" xfId="0" applyFont="1"/>
    <xf numFmtId="0" fontId="1" fillId="0" borderId="4" xfId="0" applyFont="1" applyBorder="1" applyAlignment="1" applyProtection="1">
      <alignment horizontal="center"/>
    </xf>
    <xf numFmtId="0" fontId="0" fillId="0" borderId="5" xfId="0" applyBorder="1" applyProtection="1"/>
    <xf numFmtId="0" fontId="1" fillId="4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7" fillId="0" borderId="6" xfId="0" applyFont="1" applyBorder="1" applyProtection="1"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5" fontId="1" fillId="0" borderId="2" xfId="2" applyNumberFormat="1" applyFont="1" applyFill="1" applyBorder="1" applyAlignment="1" applyProtection="1">
      <alignment horizontal="right"/>
      <protection hidden="1"/>
    </xf>
    <xf numFmtId="165" fontId="1" fillId="0" borderId="2" xfId="2" applyNumberFormat="1" applyFont="1" applyBorder="1" applyAlignment="1" applyProtection="1">
      <alignment horizontal="right"/>
      <protection hidden="1"/>
    </xf>
    <xf numFmtId="165" fontId="1" fillId="3" borderId="2" xfId="2" applyNumberFormat="1" applyFont="1" applyFill="1" applyBorder="1" applyAlignment="1" applyProtection="1">
      <alignment horizontal="right"/>
      <protection hidden="1"/>
    </xf>
    <xf numFmtId="10" fontId="1" fillId="3" borderId="2" xfId="5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0" fillId="0" borderId="3" xfId="0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8" xfId="0" applyFont="1" applyBorder="1" applyAlignment="1" applyProtection="1">
      <alignment horizontal="center"/>
      <protection hidden="1"/>
    </xf>
    <xf numFmtId="1" fontId="2" fillId="0" borderId="8" xfId="2" applyNumberFormat="1" applyFont="1" applyBorder="1" applyAlignment="1" applyProtection="1">
      <alignment horizontal="right"/>
      <protection hidden="1"/>
    </xf>
    <xf numFmtId="1" fontId="2" fillId="0" borderId="8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5" fontId="6" fillId="0" borderId="1" xfId="2" applyNumberFormat="1" applyFont="1" applyBorder="1" applyAlignment="1" applyProtection="1">
      <alignment horizontal="right"/>
      <protection hidden="1"/>
    </xf>
    <xf numFmtId="165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165" fontId="1" fillId="0" borderId="2" xfId="2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1" fillId="0" borderId="0" xfId="0" applyFont="1"/>
    <xf numFmtId="165" fontId="1" fillId="0" borderId="3" xfId="2" applyNumberFormat="1" applyFont="1" applyBorder="1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11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3" fillId="0" borderId="15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7" fillId="5" borderId="6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5" borderId="20" xfId="0" applyFont="1" applyFill="1" applyBorder="1" applyAlignment="1" applyProtection="1">
      <alignment horizontal="center"/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7" xfId="0" applyFont="1" applyFill="1" applyBorder="1" applyAlignment="1" applyProtection="1">
      <alignment horizontal="center"/>
      <protection hidden="1"/>
    </xf>
    <xf numFmtId="0" fontId="6" fillId="5" borderId="6" xfId="0" applyFont="1" applyFill="1" applyBorder="1" applyAlignment="1" applyProtection="1">
      <alignment horizontal="center"/>
      <protection hidden="1"/>
    </xf>
    <xf numFmtId="0" fontId="6" fillId="5" borderId="20" xfId="0" applyFont="1" applyFill="1" applyBorder="1" applyAlignment="1" applyProtection="1">
      <alignment horizontal="center"/>
      <protection hidden="1"/>
    </xf>
    <xf numFmtId="0" fontId="15" fillId="6" borderId="6" xfId="0" applyFont="1" applyFill="1" applyBorder="1" applyProtection="1">
      <protection hidden="1"/>
    </xf>
    <xf numFmtId="0" fontId="16" fillId="6" borderId="3" xfId="0" applyFont="1" applyFill="1" applyBorder="1" applyAlignment="1" applyProtection="1">
      <alignment horizontal="center"/>
      <protection hidden="1"/>
    </xf>
    <xf numFmtId="0" fontId="16" fillId="6" borderId="6" xfId="0" applyFont="1" applyFill="1" applyBorder="1" applyAlignment="1" applyProtection="1">
      <alignment horizontal="center"/>
      <protection hidden="1"/>
    </xf>
    <xf numFmtId="0" fontId="16" fillId="6" borderId="20" xfId="0" applyFont="1" applyFill="1" applyBorder="1" applyAlignment="1" applyProtection="1">
      <alignment horizontal="center"/>
      <protection hidden="1"/>
    </xf>
    <xf numFmtId="0" fontId="16" fillId="6" borderId="7" xfId="0" applyFont="1" applyFill="1" applyBorder="1" applyAlignment="1" applyProtection="1">
      <alignment horizontal="center"/>
      <protection hidden="1"/>
    </xf>
    <xf numFmtId="165" fontId="2" fillId="0" borderId="1" xfId="2" applyNumberFormat="1" applyFont="1" applyBorder="1" applyAlignment="1" applyProtection="1">
      <alignment horizontal="right"/>
      <protection hidden="1"/>
    </xf>
    <xf numFmtId="0" fontId="0" fillId="0" borderId="21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22" xfId="0" applyBorder="1" applyProtection="1">
      <protection hidden="1"/>
    </xf>
    <xf numFmtId="0" fontId="1" fillId="0" borderId="2" xfId="0" applyFont="1" applyBorder="1" applyAlignment="1" applyProtection="1">
      <alignment horizontal="left" wrapText="1"/>
      <protection locked="0"/>
    </xf>
    <xf numFmtId="0" fontId="13" fillId="0" borderId="21" xfId="0" applyFont="1" applyBorder="1" applyProtection="1">
      <protection hidden="1"/>
    </xf>
    <xf numFmtId="0" fontId="13" fillId="0" borderId="8" xfId="0" applyFont="1" applyBorder="1" applyProtection="1">
      <protection hidden="1"/>
    </xf>
    <xf numFmtId="0" fontId="13" fillId="0" borderId="22" xfId="0" applyFont="1" applyBorder="1" applyProtection="1">
      <protection hidden="1"/>
    </xf>
    <xf numFmtId="43" fontId="1" fillId="0" borderId="2" xfId="2" applyFont="1" applyFill="1" applyBorder="1" applyAlignment="1" applyProtection="1">
      <alignment horizontal="right"/>
    </xf>
    <xf numFmtId="165" fontId="3" fillId="0" borderId="20" xfId="0" applyNumberFormat="1" applyFont="1" applyBorder="1" applyProtection="1"/>
    <xf numFmtId="0" fontId="3" fillId="7" borderId="3" xfId="0" applyFont="1" applyFill="1" applyBorder="1" applyAlignment="1" applyProtection="1">
      <alignment horizontal="center"/>
    </xf>
    <xf numFmtId="0" fontId="3" fillId="7" borderId="7" xfId="0" applyFont="1" applyFill="1" applyBorder="1" applyAlignment="1" applyProtection="1">
      <alignment horizontal="center"/>
    </xf>
    <xf numFmtId="0" fontId="3" fillId="7" borderId="6" xfId="0" applyFont="1" applyFill="1" applyBorder="1" applyAlignment="1" applyProtection="1">
      <alignment horizontal="center"/>
    </xf>
    <xf numFmtId="0" fontId="3" fillId="7" borderId="0" xfId="0" applyFont="1" applyFill="1" applyBorder="1" applyAlignment="1" applyProtection="1">
      <alignment horizontal="center"/>
    </xf>
    <xf numFmtId="0" fontId="3" fillId="7" borderId="20" xfId="0" applyFont="1" applyFill="1" applyBorder="1" applyAlignment="1" applyProtection="1">
      <alignment horizontal="center"/>
    </xf>
    <xf numFmtId="43" fontId="3" fillId="7" borderId="3" xfId="2" applyFont="1" applyFill="1" applyBorder="1" applyAlignment="1" applyProtection="1">
      <alignment horizontal="center"/>
    </xf>
    <xf numFmtId="0" fontId="6" fillId="7" borderId="6" xfId="0" applyFont="1" applyFill="1" applyBorder="1" applyAlignment="1" applyProtection="1">
      <alignment horizontal="center"/>
    </xf>
    <xf numFmtId="0" fontId="3" fillId="7" borderId="8" xfId="0" applyFont="1" applyFill="1" applyBorder="1" applyAlignment="1" applyProtection="1">
      <alignment horizontal="center"/>
    </xf>
    <xf numFmtId="0" fontId="7" fillId="7" borderId="3" xfId="0" applyFont="1" applyFill="1" applyBorder="1" applyProtection="1"/>
    <xf numFmtId="43" fontId="0" fillId="0" borderId="0" xfId="2" applyFont="1" applyProtection="1">
      <protection hidden="1"/>
    </xf>
    <xf numFmtId="0" fontId="16" fillId="6" borderId="23" xfId="0" applyFont="1" applyFill="1" applyBorder="1" applyAlignment="1" applyProtection="1">
      <alignment horizontal="center"/>
      <protection hidden="1"/>
    </xf>
    <xf numFmtId="43" fontId="0" fillId="0" borderId="0" xfId="0" applyNumberFormat="1" applyProtection="1">
      <protection hidden="1"/>
    </xf>
    <xf numFmtId="0" fontId="0" fillId="0" borderId="20" xfId="0" applyBorder="1" applyProtection="1">
      <protection hidden="1"/>
    </xf>
    <xf numFmtId="0" fontId="1" fillId="4" borderId="0" xfId="0" applyFont="1" applyFill="1" applyBorder="1" applyAlignment="1" applyProtection="1">
      <alignment horizontal="left"/>
      <protection locked="0"/>
    </xf>
    <xf numFmtId="43" fontId="1" fillId="0" borderId="2" xfId="2" applyFont="1" applyFill="1" applyBorder="1" applyAlignment="1" applyProtection="1">
      <alignment horizontal="right"/>
      <protection hidden="1"/>
    </xf>
    <xf numFmtId="0" fontId="0" fillId="0" borderId="24" xfId="0" applyBorder="1" applyProtection="1">
      <protection hidden="1"/>
    </xf>
    <xf numFmtId="0" fontId="0" fillId="0" borderId="24" xfId="0" applyBorder="1" applyProtection="1"/>
    <xf numFmtId="0" fontId="0" fillId="8" borderId="25" xfId="0" applyFill="1" applyBorder="1" applyProtection="1"/>
    <xf numFmtId="0" fontId="2" fillId="8" borderId="26" xfId="0" applyFont="1" applyFill="1" applyBorder="1" applyAlignment="1" applyProtection="1">
      <alignment horizontal="center"/>
    </xf>
    <xf numFmtId="165" fontId="6" fillId="8" borderId="1" xfId="2" applyNumberFormat="1" applyFont="1" applyFill="1" applyBorder="1" applyAlignment="1" applyProtection="1">
      <alignment horizontal="right"/>
    </xf>
    <xf numFmtId="0" fontId="2" fillId="0" borderId="24" xfId="0" applyFont="1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0" fillId="0" borderId="27" xfId="0" applyBorder="1" applyProtection="1">
      <protection hidden="1"/>
    </xf>
    <xf numFmtId="0" fontId="0" fillId="5" borderId="0" xfId="0" applyFill="1" applyProtection="1">
      <protection hidden="1"/>
    </xf>
    <xf numFmtId="10" fontId="1" fillId="3" borderId="20" xfId="5" applyNumberFormat="1" applyFont="1" applyFill="1" applyBorder="1" applyAlignment="1" applyProtection="1">
      <alignment horizontal="right"/>
      <protection hidden="1"/>
    </xf>
    <xf numFmtId="0" fontId="1" fillId="0" borderId="9" xfId="0" applyFont="1" applyBorder="1" applyAlignment="1" applyProtection="1">
      <alignment horizontal="center"/>
      <protection locked="0"/>
    </xf>
    <xf numFmtId="165" fontId="1" fillId="0" borderId="9" xfId="2" applyNumberFormat="1" applyFont="1" applyFill="1" applyBorder="1" applyAlignment="1" applyProtection="1">
      <alignment horizontal="right"/>
      <protection hidden="1"/>
    </xf>
    <xf numFmtId="0" fontId="2" fillId="0" borderId="9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1" fillId="0" borderId="12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left"/>
      <protection locked="0"/>
    </xf>
    <xf numFmtId="43" fontId="1" fillId="0" borderId="9" xfId="2" applyFont="1" applyFill="1" applyBorder="1" applyAlignment="1" applyProtection="1">
      <alignment horizontal="right"/>
    </xf>
    <xf numFmtId="165" fontId="1" fillId="0" borderId="9" xfId="2" applyNumberFormat="1" applyFont="1" applyBorder="1" applyAlignment="1" applyProtection="1">
      <alignment horizontal="right"/>
      <protection hidden="1"/>
    </xf>
    <xf numFmtId="0" fontId="3" fillId="0" borderId="16" xfId="0" applyFont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horizontal="left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</xf>
    <xf numFmtId="1" fontId="5" fillId="0" borderId="2" xfId="0" applyNumberFormat="1" applyFont="1" applyBorder="1" applyAlignment="1" applyProtection="1">
      <alignment horizontal="center"/>
      <protection locked="0"/>
    </xf>
    <xf numFmtId="165" fontId="5" fillId="0" borderId="2" xfId="2" applyNumberFormat="1" applyFont="1" applyFill="1" applyBorder="1" applyAlignment="1" applyProtection="1">
      <alignment horizontal="right"/>
    </xf>
    <xf numFmtId="165" fontId="5" fillId="0" borderId="2" xfId="2" applyNumberFormat="1" applyFont="1" applyBorder="1" applyAlignment="1" applyProtection="1">
      <alignment horizontal="right"/>
    </xf>
    <xf numFmtId="0" fontId="5" fillId="0" borderId="0" xfId="0" applyFont="1" applyProtection="1"/>
    <xf numFmtId="0" fontId="6" fillId="0" borderId="20" xfId="0" applyFont="1" applyFill="1" applyBorder="1" applyAlignment="1" applyProtection="1">
      <alignment horizontal="left"/>
      <protection locked="0"/>
    </xf>
    <xf numFmtId="0" fontId="6" fillId="0" borderId="20" xfId="0" applyFont="1" applyBorder="1" applyProtection="1"/>
    <xf numFmtId="165" fontId="6" fillId="0" borderId="20" xfId="0" applyNumberFormat="1" applyFont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7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0" fontId="21" fillId="5" borderId="20" xfId="0" applyFont="1" applyFill="1" applyBorder="1" applyAlignment="1" applyProtection="1">
      <alignment horizontal="center"/>
    </xf>
    <xf numFmtId="0" fontId="22" fillId="5" borderId="20" xfId="0" applyFont="1" applyFill="1" applyBorder="1" applyAlignment="1" applyProtection="1">
      <alignment horizontal="center"/>
    </xf>
    <xf numFmtId="0" fontId="22" fillId="5" borderId="23" xfId="0" applyFont="1" applyFill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165" fontId="1" fillId="0" borderId="29" xfId="2" applyNumberFormat="1" applyFont="1" applyBorder="1" applyAlignment="1" applyProtection="1">
      <alignment horizontal="right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6" fillId="5" borderId="20" xfId="0" applyFont="1" applyFill="1" applyBorder="1" applyAlignment="1" applyProtection="1">
      <alignment horizontal="center"/>
    </xf>
    <xf numFmtId="43" fontId="5" fillId="0" borderId="2" xfId="2" applyFont="1" applyBorder="1" applyAlignment="1" applyProtection="1">
      <alignment horizontal="right"/>
    </xf>
    <xf numFmtId="43" fontId="5" fillId="0" borderId="9" xfId="2" applyFont="1" applyBorder="1" applyAlignment="1" applyProtection="1">
      <alignment horizontal="right"/>
    </xf>
    <xf numFmtId="165" fontId="0" fillId="0" borderId="0" xfId="0" applyNumberFormat="1" applyProtection="1"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7" fillId="7" borderId="6" xfId="0" applyFont="1" applyFill="1" applyBorder="1" applyProtection="1"/>
    <xf numFmtId="0" fontId="6" fillId="7" borderId="2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165" fontId="1" fillId="0" borderId="13" xfId="2" applyNumberFormat="1" applyFont="1" applyFill="1" applyBorder="1" applyAlignment="1" applyProtection="1">
      <alignment horizontal="right"/>
      <protection hidden="1"/>
    </xf>
    <xf numFmtId="0" fontId="3" fillId="7" borderId="28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0" fillId="0" borderId="30" xfId="0" applyBorder="1" applyProtection="1"/>
    <xf numFmtId="0" fontId="3" fillId="0" borderId="2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left"/>
      <protection locked="0"/>
    </xf>
    <xf numFmtId="165" fontId="1" fillId="0" borderId="13" xfId="2" applyNumberFormat="1" applyFont="1" applyFill="1" applyBorder="1" applyAlignment="1" applyProtection="1">
      <alignment horizontal="right"/>
    </xf>
    <xf numFmtId="165" fontId="1" fillId="0" borderId="13" xfId="2" applyNumberFormat="1" applyFont="1" applyBorder="1" applyAlignment="1" applyProtection="1">
      <alignment horizontal="right"/>
      <protection locked="0"/>
    </xf>
    <xf numFmtId="0" fontId="0" fillId="0" borderId="30" xfId="0" applyBorder="1" applyProtection="1">
      <protection hidden="1"/>
    </xf>
    <xf numFmtId="0" fontId="3" fillId="0" borderId="6" xfId="0" applyFont="1" applyBorder="1" applyAlignment="1" applyProtection="1">
      <alignment horizontal="center"/>
      <protection locked="0"/>
    </xf>
    <xf numFmtId="0" fontId="0" fillId="0" borderId="23" xfId="0" applyBorder="1" applyProtection="1">
      <protection hidden="1"/>
    </xf>
    <xf numFmtId="0" fontId="1" fillId="0" borderId="10" xfId="0" applyFont="1" applyBorder="1" applyAlignment="1" applyProtection="1">
      <alignment horizontal="left"/>
      <protection locked="0"/>
    </xf>
    <xf numFmtId="0" fontId="0" fillId="0" borderId="5" xfId="0" applyBorder="1" applyProtection="1">
      <protection hidden="1"/>
    </xf>
    <xf numFmtId="0" fontId="1" fillId="0" borderId="9" xfId="0" applyFont="1" applyFill="1" applyBorder="1" applyAlignment="1" applyProtection="1">
      <alignment horizontal="left"/>
      <protection locked="0"/>
    </xf>
    <xf numFmtId="1" fontId="1" fillId="0" borderId="11" xfId="2" applyNumberFormat="1" applyFont="1" applyFill="1" applyBorder="1" applyAlignment="1" applyProtection="1">
      <alignment horizontal="right"/>
      <protection hidden="1"/>
    </xf>
    <xf numFmtId="43" fontId="1" fillId="0" borderId="3" xfId="2" applyFont="1" applyFill="1" applyBorder="1" applyAlignment="1" applyProtection="1">
      <alignment horizontal="right"/>
    </xf>
    <xf numFmtId="43" fontId="1" fillId="0" borderId="12" xfId="2" applyFont="1" applyFill="1" applyBorder="1" applyAlignment="1" applyProtection="1">
      <alignment horizontal="right"/>
    </xf>
    <xf numFmtId="0" fontId="3" fillId="5" borderId="31" xfId="0" applyFont="1" applyFill="1" applyBorder="1" applyAlignment="1" applyProtection="1">
      <alignment horizontal="center"/>
      <protection hidden="1"/>
    </xf>
    <xf numFmtId="0" fontId="17" fillId="0" borderId="0" xfId="4" applyFont="1" applyProtection="1">
      <protection locked="0"/>
    </xf>
    <xf numFmtId="0" fontId="16" fillId="0" borderId="3" xfId="0" applyFont="1" applyFill="1" applyBorder="1" applyAlignment="1" applyProtection="1">
      <alignment vertical="center" wrapText="1"/>
      <protection locked="0"/>
    </xf>
    <xf numFmtId="0" fontId="7" fillId="0" borderId="32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33" xfId="0" applyNumberFormat="1" applyFont="1" applyBorder="1" applyAlignment="1">
      <alignment horizontal="right" vertical="center" wrapText="1"/>
    </xf>
    <xf numFmtId="0" fontId="7" fillId="0" borderId="33" xfId="0" applyFont="1" applyBorder="1" applyAlignment="1">
      <alignment horizontal="right" vertical="center" wrapText="1"/>
    </xf>
    <xf numFmtId="10" fontId="7" fillId="0" borderId="32" xfId="5" applyNumberFormat="1" applyFont="1" applyBorder="1" applyAlignment="1">
      <alignment horizontal="right" vertical="center" wrapText="1"/>
    </xf>
    <xf numFmtId="10" fontId="7" fillId="0" borderId="0" xfId="5" applyNumberFormat="1" applyFont="1" applyAlignment="1">
      <alignment horizontal="right" vertical="center" wrapText="1"/>
    </xf>
    <xf numFmtId="10" fontId="7" fillId="0" borderId="33" xfId="5" applyNumberFormat="1" applyFont="1" applyBorder="1" applyAlignment="1">
      <alignment horizontal="right" vertical="center" wrapText="1"/>
    </xf>
    <xf numFmtId="0" fontId="2" fillId="0" borderId="8" xfId="0" applyFont="1" applyBorder="1" applyAlignment="1" applyProtection="1">
      <alignment horizontal="center"/>
      <protection hidden="1"/>
    </xf>
    <xf numFmtId="44" fontId="15" fillId="0" borderId="3" xfId="3" applyFont="1" applyFill="1" applyBorder="1" applyAlignment="1" applyProtection="1">
      <alignment vertical="center" wrapText="1"/>
      <protection locked="0"/>
    </xf>
    <xf numFmtId="44" fontId="15" fillId="0" borderId="3" xfId="0" applyNumberFormat="1" applyFont="1" applyFill="1" applyBorder="1" applyAlignment="1" applyProtection="1">
      <alignment vertical="center" wrapText="1"/>
      <protection locked="0"/>
    </xf>
    <xf numFmtId="10" fontId="15" fillId="0" borderId="3" xfId="5" applyNumberFormat="1" applyFont="1" applyFill="1" applyBorder="1" applyAlignment="1" applyProtection="1">
      <alignment vertical="center" wrapText="1"/>
      <protection locked="0"/>
    </xf>
    <xf numFmtId="0" fontId="15" fillId="0" borderId="3" xfId="0" applyFont="1" applyFill="1" applyBorder="1" applyAlignment="1" applyProtection="1">
      <alignment vertical="center" wrapText="1"/>
      <protection locked="0"/>
    </xf>
    <xf numFmtId="0" fontId="17" fillId="9" borderId="34" xfId="4" applyFont="1" applyFill="1" applyBorder="1" applyProtection="1">
      <protection locked="0"/>
    </xf>
    <xf numFmtId="0" fontId="17" fillId="9" borderId="35" xfId="4" applyFont="1" applyFill="1" applyBorder="1" applyProtection="1">
      <protection locked="0"/>
    </xf>
    <xf numFmtId="0" fontId="17" fillId="9" borderId="36" xfId="4" applyFont="1" applyFill="1" applyBorder="1" applyAlignment="1" applyProtection="1">
      <alignment wrapText="1"/>
      <protection locked="0"/>
    </xf>
    <xf numFmtId="0" fontId="17" fillId="9" borderId="37" xfId="4" applyFont="1" applyFill="1" applyBorder="1" applyAlignment="1" applyProtection="1">
      <alignment wrapText="1"/>
      <protection locked="0"/>
    </xf>
    <xf numFmtId="0" fontId="17" fillId="9" borderId="38" xfId="4" applyFont="1" applyFill="1" applyBorder="1" applyAlignment="1" applyProtection="1">
      <alignment wrapText="1"/>
      <protection locked="0"/>
    </xf>
    <xf numFmtId="0" fontId="17" fillId="9" borderId="39" xfId="4" applyFont="1" applyFill="1" applyBorder="1" applyProtection="1">
      <protection locked="0"/>
    </xf>
    <xf numFmtId="0" fontId="17" fillId="9" borderId="37" xfId="4" applyFont="1" applyFill="1" applyBorder="1" applyProtection="1">
      <protection locked="0"/>
    </xf>
    <xf numFmtId="0" fontId="17" fillId="9" borderId="38" xfId="4" applyFont="1" applyFill="1" applyBorder="1" applyProtection="1">
      <protection locked="0"/>
    </xf>
    <xf numFmtId="0" fontId="17" fillId="9" borderId="40" xfId="4" applyFont="1" applyFill="1" applyBorder="1" applyAlignment="1" applyProtection="1">
      <alignment wrapText="1"/>
      <protection locked="0"/>
    </xf>
    <xf numFmtId="0" fontId="17" fillId="9" borderId="20" xfId="4" applyFont="1" applyFill="1" applyBorder="1" applyAlignment="1" applyProtection="1">
      <alignment wrapText="1"/>
      <protection locked="0"/>
    </xf>
    <xf numFmtId="0" fontId="17" fillId="9" borderId="41" xfId="4" applyFont="1" applyFill="1" applyBorder="1" applyAlignment="1" applyProtection="1">
      <alignment wrapText="1"/>
      <protection locked="0"/>
    </xf>
    <xf numFmtId="0" fontId="3" fillId="5" borderId="26" xfId="0" applyFont="1" applyFill="1" applyBorder="1" applyAlignment="1" applyProtection="1">
      <protection hidden="1"/>
    </xf>
    <xf numFmtId="0" fontId="3" fillId="7" borderId="31" xfId="0" applyFont="1" applyFill="1" applyBorder="1" applyAlignment="1" applyProtection="1"/>
    <xf numFmtId="0" fontId="3" fillId="7" borderId="24" xfId="0" applyFont="1" applyFill="1" applyBorder="1" applyAlignment="1" applyProtection="1"/>
    <xf numFmtId="0" fontId="3" fillId="7" borderId="20" xfId="0" applyFont="1" applyFill="1" applyBorder="1" applyAlignment="1" applyProtection="1">
      <alignment horizontal="center"/>
      <protection hidden="1"/>
    </xf>
    <xf numFmtId="0" fontId="3" fillId="7" borderId="31" xfId="0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0" fontId="16" fillId="6" borderId="3" xfId="0" applyFont="1" applyFill="1" applyBorder="1" applyAlignment="1" applyProtection="1">
      <alignment horizontal="center" vertical="center"/>
      <protection hidden="1"/>
    </xf>
    <xf numFmtId="0" fontId="16" fillId="6" borderId="8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8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43" fontId="0" fillId="0" borderId="0" xfId="2" applyFont="1" applyFill="1" applyProtection="1">
      <protection hidden="1"/>
    </xf>
    <xf numFmtId="43" fontId="0" fillId="0" borderId="0" xfId="0" applyNumberFormat="1" applyFill="1" applyProtection="1">
      <protection hidden="1"/>
    </xf>
    <xf numFmtId="0" fontId="17" fillId="0" borderId="39" xfId="4" applyFont="1" applyFill="1" applyBorder="1" applyProtection="1">
      <protection locked="0"/>
    </xf>
    <xf numFmtId="0" fontId="17" fillId="0" borderId="37" xfId="4" applyFont="1" applyFill="1" applyBorder="1" applyProtection="1">
      <protection locked="0"/>
    </xf>
    <xf numFmtId="0" fontId="17" fillId="0" borderId="38" xfId="4" applyFont="1" applyFill="1" applyBorder="1" applyProtection="1">
      <protection locked="0"/>
    </xf>
    <xf numFmtId="0" fontId="3" fillId="6" borderId="20" xfId="0" applyFont="1" applyFill="1" applyBorder="1" applyAlignment="1" applyProtection="1">
      <alignment horizontal="center"/>
      <protection hidden="1"/>
    </xf>
    <xf numFmtId="0" fontId="3" fillId="6" borderId="31" xfId="0" applyFont="1" applyFill="1" applyBorder="1" applyAlignment="1" applyProtection="1">
      <alignment horizontal="center"/>
      <protection hidden="1"/>
    </xf>
    <xf numFmtId="0" fontId="3" fillId="6" borderId="6" xfId="0" applyFont="1" applyFill="1" applyBorder="1" applyAlignment="1" applyProtection="1">
      <alignment horizontal="center"/>
      <protection hidden="1"/>
    </xf>
    <xf numFmtId="0" fontId="16" fillId="6" borderId="22" xfId="0" applyFont="1" applyFill="1" applyBorder="1" applyAlignment="1" applyProtection="1">
      <protection hidden="1"/>
    </xf>
    <xf numFmtId="0" fontId="16" fillId="6" borderId="8" xfId="0" applyFont="1" applyFill="1" applyBorder="1" applyAlignment="1" applyProtection="1">
      <protection hidden="1"/>
    </xf>
    <xf numFmtId="0" fontId="16" fillId="6" borderId="21" xfId="0" applyFont="1" applyFill="1" applyBorder="1" applyAlignment="1" applyProtection="1">
      <protection hidden="1"/>
    </xf>
    <xf numFmtId="2" fontId="15" fillId="0" borderId="2" xfId="3" applyNumberFormat="1" applyFont="1" applyFill="1" applyBorder="1" applyAlignment="1" applyProtection="1">
      <alignment vertical="center" wrapText="1"/>
      <protection locked="0"/>
    </xf>
    <xf numFmtId="2" fontId="15" fillId="0" borderId="9" xfId="3" applyNumberFormat="1" applyFont="1" applyFill="1" applyBorder="1" applyAlignment="1" applyProtection="1">
      <alignment vertical="center" wrapText="1"/>
      <protection locked="0"/>
    </xf>
    <xf numFmtId="2" fontId="15" fillId="0" borderId="16" xfId="3" applyNumberFormat="1" applyFont="1" applyFill="1" applyBorder="1" applyAlignment="1" applyProtection="1">
      <alignment vertical="center" wrapText="1"/>
      <protection locked="0"/>
    </xf>
    <xf numFmtId="0" fontId="18" fillId="5" borderId="20" xfId="0" applyFont="1" applyFill="1" applyBorder="1" applyAlignment="1" applyProtection="1">
      <alignment horizontal="center"/>
      <protection hidden="1"/>
    </xf>
    <xf numFmtId="0" fontId="18" fillId="5" borderId="6" xfId="0" applyFont="1" applyFill="1" applyBorder="1" applyAlignment="1" applyProtection="1">
      <alignment horizontal="center"/>
      <protection hidden="1"/>
    </xf>
    <xf numFmtId="44" fontId="15" fillId="0" borderId="10" xfId="3" applyFont="1" applyFill="1" applyBorder="1" applyAlignment="1" applyProtection="1">
      <alignment vertical="center" wrapText="1"/>
      <protection locked="0"/>
    </xf>
    <xf numFmtId="44" fontId="15" fillId="0" borderId="9" xfId="3" applyFont="1" applyFill="1" applyBorder="1" applyAlignment="1" applyProtection="1">
      <alignment vertical="center" wrapText="1"/>
      <protection locked="0"/>
    </xf>
    <xf numFmtId="44" fontId="15" fillId="0" borderId="16" xfId="3" applyFont="1" applyFill="1" applyBorder="1" applyAlignment="1" applyProtection="1">
      <alignment vertical="center" wrapText="1"/>
      <protection locked="0"/>
    </xf>
    <xf numFmtId="44" fontId="15" fillId="0" borderId="2" xfId="3" applyFont="1" applyFill="1" applyBorder="1" applyAlignment="1" applyProtection="1">
      <alignment vertical="center" wrapText="1"/>
      <protection locked="0"/>
    </xf>
    <xf numFmtId="165" fontId="1" fillId="0" borderId="3" xfId="2" applyNumberFormat="1" applyFont="1" applyFill="1" applyBorder="1" applyAlignment="1" applyProtection="1">
      <alignment horizontal="right"/>
      <protection hidden="1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/>
      <protection locked="0"/>
    </xf>
    <xf numFmtId="165" fontId="1" fillId="0" borderId="8" xfId="2" applyNumberFormat="1" applyFont="1" applyFill="1" applyBorder="1" applyAlignment="1" applyProtection="1">
      <alignment horizontal="right"/>
      <protection hidden="1"/>
    </xf>
    <xf numFmtId="44" fontId="15" fillId="0" borderId="2" xfId="0" applyNumberFormat="1" applyFont="1" applyFill="1" applyBorder="1" applyAlignment="1" applyProtection="1">
      <alignment vertical="center" wrapText="1"/>
      <protection locked="0"/>
    </xf>
    <xf numFmtId="10" fontId="15" fillId="0" borderId="2" xfId="5" applyNumberFormat="1" applyFont="1" applyFill="1" applyBorder="1" applyAlignment="1" applyProtection="1">
      <alignment vertical="center" wrapText="1"/>
      <protection locked="0"/>
    </xf>
    <xf numFmtId="0" fontId="15" fillId="0" borderId="2" xfId="0" applyFont="1" applyFill="1" applyBorder="1" applyAlignment="1" applyProtection="1">
      <alignment vertical="center" wrapText="1"/>
      <protection locked="0"/>
    </xf>
    <xf numFmtId="0" fontId="15" fillId="0" borderId="16" xfId="0" applyFont="1" applyFill="1" applyBorder="1" applyAlignment="1" applyProtection="1">
      <alignment vertical="center" wrapText="1"/>
      <protection locked="0"/>
    </xf>
    <xf numFmtId="0" fontId="1" fillId="4" borderId="17" xfId="0" applyFont="1" applyFill="1" applyBorder="1" applyAlignment="1" applyProtection="1">
      <alignment horizontal="center"/>
    </xf>
    <xf numFmtId="0" fontId="5" fillId="4" borderId="17" xfId="0" applyFont="1" applyFill="1" applyBorder="1" applyAlignment="1" applyProtection="1">
      <alignment horizontal="left"/>
      <protection locked="0"/>
    </xf>
    <xf numFmtId="0" fontId="1" fillId="4" borderId="17" xfId="0" applyFont="1" applyFill="1" applyBorder="1" applyAlignment="1" applyProtection="1">
      <alignment horizontal="left"/>
      <protection locked="0"/>
    </xf>
    <xf numFmtId="0" fontId="1" fillId="4" borderId="17" xfId="0" applyFont="1" applyFill="1" applyBorder="1" applyAlignment="1" applyProtection="1">
      <alignment horizontal="center"/>
      <protection locked="0"/>
    </xf>
    <xf numFmtId="43" fontId="1" fillId="4" borderId="17" xfId="2" applyFont="1" applyFill="1" applyBorder="1" applyAlignment="1" applyProtection="1">
      <alignment horizontal="right"/>
    </xf>
    <xf numFmtId="165" fontId="1" fillId="4" borderId="17" xfId="2" applyNumberFormat="1" applyFont="1" applyFill="1" applyBorder="1" applyAlignment="1" applyProtection="1">
      <alignment horizontal="right"/>
      <protection hidden="1"/>
    </xf>
    <xf numFmtId="0" fontId="1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43" fontId="1" fillId="4" borderId="0" xfId="2" applyFont="1" applyFill="1" applyBorder="1" applyAlignment="1" applyProtection="1">
      <alignment horizontal="right"/>
    </xf>
    <xf numFmtId="165" fontId="1" fillId="4" borderId="0" xfId="2" applyNumberFormat="1" applyFont="1" applyFill="1" applyBorder="1" applyAlignment="1" applyProtection="1">
      <alignment horizontal="right"/>
      <protection hidden="1"/>
    </xf>
    <xf numFmtId="0" fontId="19" fillId="6" borderId="3" xfId="0" applyFont="1" applyFill="1" applyBorder="1" applyAlignment="1" applyProtection="1">
      <alignment horizontal="center"/>
      <protection hidden="1"/>
    </xf>
    <xf numFmtId="165" fontId="0" fillId="0" borderId="0" xfId="0" applyNumberFormat="1"/>
    <xf numFmtId="0" fontId="1" fillId="0" borderId="2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 applyProtection="1">
      <alignment horizontal="left"/>
      <protection locked="0"/>
    </xf>
    <xf numFmtId="2" fontId="1" fillId="0" borderId="2" xfId="0" applyNumberFormat="1" applyFont="1" applyBorder="1" applyAlignment="1" applyProtection="1">
      <alignment horizontal="left"/>
      <protection locked="0"/>
    </xf>
    <xf numFmtId="2" fontId="1" fillId="0" borderId="2" xfId="0" applyNumberFormat="1" applyFont="1" applyFill="1" applyBorder="1" applyAlignment="1" applyProtection="1">
      <alignment horizontal="left"/>
      <protection locked="0"/>
    </xf>
    <xf numFmtId="44" fontId="0" fillId="0" borderId="0" xfId="3" applyFont="1"/>
    <xf numFmtId="44" fontId="0" fillId="0" borderId="0" xfId="0" applyNumberFormat="1"/>
    <xf numFmtId="166" fontId="0" fillId="0" borderId="0" xfId="3" applyNumberFormat="1" applyFont="1"/>
    <xf numFmtId="0" fontId="0" fillId="0" borderId="0" xfId="0" applyAlignment="1">
      <alignment vertical="center"/>
    </xf>
    <xf numFmtId="44" fontId="0" fillId="0" borderId="0" xfId="3" applyFont="1" applyAlignment="1">
      <alignment horizontal="center" vertical="center"/>
    </xf>
    <xf numFmtId="0" fontId="1" fillId="0" borderId="9" xfId="0" applyFont="1" applyFill="1" applyBorder="1" applyProtection="1">
      <protection locked="0"/>
    </xf>
    <xf numFmtId="0" fontId="1" fillId="0" borderId="16" xfId="0" applyFont="1" applyFill="1" applyBorder="1" applyProtection="1">
      <protection locked="0"/>
    </xf>
    <xf numFmtId="0" fontId="0" fillId="0" borderId="0" xfId="0" applyFill="1"/>
    <xf numFmtId="44" fontId="0" fillId="0" borderId="0" xfId="3" applyFont="1" applyFill="1"/>
    <xf numFmtId="166" fontId="0" fillId="0" borderId="0" xfId="0" applyNumberFormat="1" applyFill="1"/>
    <xf numFmtId="165" fontId="2" fillId="0" borderId="0" xfId="0" applyNumberFormat="1" applyFont="1" applyProtection="1">
      <protection hidden="1"/>
    </xf>
    <xf numFmtId="44" fontId="20" fillId="0" borderId="0" xfId="3" applyFont="1" applyFill="1"/>
    <xf numFmtId="0" fontId="7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23" fillId="0" borderId="0" xfId="0" applyFont="1" applyFill="1" applyProtection="1">
      <protection hidden="1"/>
    </xf>
    <xf numFmtId="0" fontId="24" fillId="0" borderId="0" xfId="0" applyFont="1" applyProtection="1">
      <protection hidden="1"/>
    </xf>
    <xf numFmtId="0" fontId="24" fillId="0" borderId="0" xfId="0" applyFont="1" applyFill="1" applyProtection="1">
      <protection hidden="1"/>
    </xf>
    <xf numFmtId="0" fontId="23" fillId="0" borderId="0" xfId="0" applyFont="1" applyProtection="1"/>
    <xf numFmtId="0" fontId="23" fillId="0" borderId="0" xfId="0" applyFont="1" applyFill="1" applyProtection="1"/>
    <xf numFmtId="43" fontId="25" fillId="0" borderId="0" xfId="2" applyFont="1" applyProtection="1">
      <protection hidden="1"/>
    </xf>
    <xf numFmtId="167" fontId="1" fillId="0" borderId="2" xfId="2" applyNumberFormat="1" applyFont="1" applyFill="1" applyBorder="1" applyAlignment="1" applyProtection="1">
      <alignment horizontal="right"/>
      <protection hidden="1"/>
    </xf>
    <xf numFmtId="165" fontId="1" fillId="0" borderId="2" xfId="2" applyNumberFormat="1" applyFont="1" applyFill="1" applyBorder="1" applyAlignment="1" applyProtection="1">
      <protection hidden="1"/>
    </xf>
    <xf numFmtId="43" fontId="26" fillId="0" borderId="0" xfId="2" applyFont="1" applyAlignment="1" applyProtection="1">
      <alignment horizontal="left"/>
      <protection hidden="1"/>
    </xf>
    <xf numFmtId="0" fontId="27" fillId="0" borderId="21" xfId="0" applyFont="1" applyBorder="1" applyAlignment="1" applyProtection="1">
      <alignment horizontal="center"/>
      <protection hidden="1"/>
    </xf>
    <xf numFmtId="0" fontId="27" fillId="0" borderId="8" xfId="0" applyFont="1" applyBorder="1" applyAlignment="1" applyProtection="1">
      <alignment horizontal="center"/>
      <protection hidden="1"/>
    </xf>
    <xf numFmtId="0" fontId="27" fillId="0" borderId="22" xfId="0" applyFont="1" applyBorder="1" applyAlignment="1" applyProtection="1">
      <alignment horizontal="center"/>
      <protection hidden="1"/>
    </xf>
    <xf numFmtId="0" fontId="28" fillId="0" borderId="28" xfId="0" applyFont="1" applyBorder="1" applyAlignment="1" applyProtection="1">
      <alignment horizontal="center"/>
      <protection hidden="1"/>
    </xf>
    <xf numFmtId="0" fontId="28" fillId="0" borderId="0" xfId="0" applyFont="1" applyBorder="1" applyAlignment="1" applyProtection="1">
      <alignment horizontal="center"/>
      <protection hidden="1"/>
    </xf>
    <xf numFmtId="0" fontId="28" fillId="0" borderId="42" xfId="0" applyFont="1" applyBorder="1" applyAlignment="1" applyProtection="1">
      <alignment horizontal="center"/>
      <protection hidden="1"/>
    </xf>
    <xf numFmtId="0" fontId="27" fillId="0" borderId="28" xfId="0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horizontal="center"/>
      <protection hidden="1"/>
    </xf>
    <xf numFmtId="0" fontId="27" fillId="0" borderId="42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23" xfId="0" applyFont="1" applyFill="1" applyBorder="1" applyAlignment="1" applyProtection="1">
      <alignment horizontal="center"/>
      <protection hidden="1"/>
    </xf>
    <xf numFmtId="0" fontId="3" fillId="5" borderId="43" xfId="0" applyFont="1" applyFill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center"/>
      <protection hidden="1"/>
    </xf>
    <xf numFmtId="0" fontId="28" fillId="0" borderId="31" xfId="0" applyFont="1" applyBorder="1" applyAlignment="1" applyProtection="1">
      <alignment horizontal="center"/>
      <protection hidden="1"/>
    </xf>
    <xf numFmtId="0" fontId="28" fillId="0" borderId="24" xfId="0" applyFont="1" applyBorder="1" applyAlignment="1" applyProtection="1">
      <alignment horizontal="center"/>
      <protection hidden="1"/>
    </xf>
    <xf numFmtId="0" fontId="28" fillId="0" borderId="27" xfId="0" applyFont="1" applyBorder="1" applyAlignment="1" applyProtection="1">
      <alignment horizontal="center"/>
      <protection hidden="1"/>
    </xf>
    <xf numFmtId="0" fontId="12" fillId="0" borderId="28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2" fillId="0" borderId="42" xfId="0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8" fillId="0" borderId="42" xfId="0" applyFont="1" applyBorder="1" applyAlignment="1" applyProtection="1">
      <alignment horizontal="center"/>
      <protection hidden="1"/>
    </xf>
    <xf numFmtId="0" fontId="11" fillId="0" borderId="28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42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11" fillId="0" borderId="42" xfId="0" applyFont="1" applyBorder="1" applyAlignment="1" applyProtection="1">
      <alignment horizontal="center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3" fillId="7" borderId="26" xfId="0" applyFont="1" applyFill="1" applyBorder="1" applyAlignment="1" applyProtection="1">
      <alignment horizontal="center"/>
      <protection hidden="1"/>
    </xf>
    <xf numFmtId="0" fontId="3" fillId="7" borderId="23" xfId="0" applyFont="1" applyFill="1" applyBorder="1" applyAlignment="1" applyProtection="1">
      <alignment horizontal="center"/>
      <protection hidden="1"/>
    </xf>
    <xf numFmtId="0" fontId="3" fillId="7" borderId="43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12" fillId="2" borderId="0" xfId="0" applyFont="1" applyFill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  <protection hidden="1"/>
    </xf>
    <xf numFmtId="0" fontId="11" fillId="2" borderId="0" xfId="0" applyFont="1" applyFill="1" applyBorder="1" applyAlignment="1" applyProtection="1">
      <alignment horizontal="center"/>
      <protection locked="0"/>
    </xf>
    <xf numFmtId="0" fontId="12" fillId="2" borderId="28" xfId="0" applyFont="1" applyFill="1" applyBorder="1" applyAlignment="1" applyProtection="1">
      <alignment horizontal="center"/>
    </xf>
    <xf numFmtId="0" fontId="12" fillId="2" borderId="42" xfId="0" applyFont="1" applyFill="1" applyBorder="1" applyAlignment="1" applyProtection="1">
      <alignment horizontal="center"/>
    </xf>
    <xf numFmtId="0" fontId="12" fillId="2" borderId="21" xfId="0" applyFont="1" applyFill="1" applyBorder="1" applyAlignment="1" applyProtection="1">
      <alignment horizontal="center"/>
    </xf>
    <xf numFmtId="0" fontId="12" fillId="2" borderId="8" xfId="0" applyFont="1" applyFill="1" applyBorder="1" applyAlignment="1" applyProtection="1">
      <alignment horizontal="center"/>
    </xf>
    <xf numFmtId="0" fontId="12" fillId="2" borderId="22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  <protection locked="0"/>
    </xf>
    <xf numFmtId="0" fontId="11" fillId="2" borderId="42" xfId="0" applyFont="1" applyFill="1" applyBorder="1" applyAlignment="1" applyProtection="1">
      <alignment horizontal="center"/>
      <protection locked="0"/>
    </xf>
    <xf numFmtId="0" fontId="11" fillId="2" borderId="31" xfId="0" applyFont="1" applyFill="1" applyBorder="1" applyAlignment="1" applyProtection="1">
      <alignment horizontal="center"/>
      <protection locked="0"/>
    </xf>
    <xf numFmtId="0" fontId="11" fillId="2" borderId="24" xfId="0" applyFont="1" applyFill="1" applyBorder="1" applyAlignment="1" applyProtection="1">
      <alignment horizontal="center"/>
      <protection locked="0"/>
    </xf>
    <xf numFmtId="0" fontId="11" fillId="2" borderId="27" xfId="0" applyFont="1" applyFill="1" applyBorder="1" applyAlignment="1" applyProtection="1">
      <alignment horizontal="center"/>
      <protection locked="0"/>
    </xf>
    <xf numFmtId="0" fontId="12" fillId="0" borderId="21" xfId="0" applyFont="1" applyBorder="1" applyAlignment="1" applyProtection="1">
      <alignment horizontal="center"/>
      <protection hidden="1"/>
    </xf>
    <xf numFmtId="0" fontId="12" fillId="0" borderId="8" xfId="0" applyFont="1" applyBorder="1" applyAlignment="1" applyProtection="1">
      <alignment horizontal="center"/>
      <protection hidden="1"/>
    </xf>
    <xf numFmtId="0" fontId="12" fillId="0" borderId="22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1" fillId="0" borderId="31" xfId="0" applyFont="1" applyBorder="1" applyAlignment="1" applyProtection="1">
      <alignment horizontal="center"/>
      <protection hidden="1"/>
    </xf>
    <xf numFmtId="0" fontId="11" fillId="0" borderId="24" xfId="0" applyFont="1" applyBorder="1" applyAlignment="1" applyProtection="1">
      <alignment horizontal="center"/>
      <protection hidden="1"/>
    </xf>
    <xf numFmtId="0" fontId="11" fillId="0" borderId="27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3" fillId="6" borderId="26" xfId="0" applyFont="1" applyFill="1" applyBorder="1" applyAlignment="1" applyProtection="1">
      <alignment horizontal="center"/>
      <protection hidden="1"/>
    </xf>
    <xf numFmtId="0" fontId="3" fillId="6" borderId="23" xfId="0" applyFont="1" applyFill="1" applyBorder="1" applyAlignment="1" applyProtection="1">
      <alignment horizontal="center"/>
      <protection hidden="1"/>
    </xf>
    <xf numFmtId="0" fontId="3" fillId="6" borderId="43" xfId="0" applyFont="1" applyFill="1" applyBorder="1" applyAlignment="1" applyProtection="1">
      <alignment horizontal="center"/>
      <protection hidden="1"/>
    </xf>
    <xf numFmtId="0" fontId="12" fillId="0" borderId="21" xfId="0" applyFont="1" applyBorder="1" applyAlignment="1" applyProtection="1">
      <alignment horizontal="center"/>
    </xf>
    <xf numFmtId="0" fontId="12" fillId="0" borderId="8" xfId="0" applyFont="1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/>
    </xf>
    <xf numFmtId="0" fontId="11" fillId="0" borderId="28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42" xfId="0" applyFont="1" applyBorder="1" applyAlignment="1" applyProtection="1">
      <alignment horizontal="center"/>
      <protection locked="0"/>
    </xf>
    <xf numFmtId="0" fontId="3" fillId="5" borderId="31" xfId="0" applyFont="1" applyFill="1" applyBorder="1" applyAlignment="1" applyProtection="1">
      <alignment horizontal="center"/>
    </xf>
    <xf numFmtId="0" fontId="3" fillId="5" borderId="27" xfId="0" applyFont="1" applyFill="1" applyBorder="1" applyAlignment="1" applyProtection="1">
      <alignment horizontal="center"/>
    </xf>
  </cellXfs>
  <cellStyles count="6">
    <cellStyle name="Euro" xfId="1"/>
    <cellStyle name="Millares" xfId="2" builtinId="3"/>
    <cellStyle name="Moneda" xfId="3" builtinId="4"/>
    <cellStyle name="Normal" xfId="0" builtinId="0"/>
    <cellStyle name="Normal 2" xfId="4"/>
    <cellStyle name="Porcentual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ra%20subir/SEPTIEMBRE%202018/NOMINA%20AGOSTO%202018/NOMINA%202017%20OK/Users/PC%20LUIS/Desktop/NOMINA/Pgo%20Prov.%20Gonzalo%20Gtz.%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4"/>
  <sheetViews>
    <sheetView workbookViewId="0">
      <selection activeCell="A5" sqref="A5"/>
    </sheetView>
  </sheetViews>
  <sheetFormatPr baseColWidth="10" defaultRowHeight="12.75"/>
  <cols>
    <col min="1" max="1" width="15.7109375" customWidth="1"/>
  </cols>
  <sheetData>
    <row r="3" spans="1:1">
      <c r="A3" s="54" t="s">
        <v>160</v>
      </c>
    </row>
    <row r="4" spans="1:1">
      <c r="A4" s="54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Z40"/>
  <sheetViews>
    <sheetView workbookViewId="0">
      <selection activeCell="B19" sqref="B19"/>
    </sheetView>
  </sheetViews>
  <sheetFormatPr baseColWidth="10" defaultRowHeight="12.75"/>
  <cols>
    <col min="1" max="1" width="4.42578125" style="24" customWidth="1"/>
    <col min="2" max="2" width="35.28515625" style="24" customWidth="1"/>
    <col min="3" max="4" width="35.28515625" style="24" hidden="1" customWidth="1"/>
    <col min="5" max="5" width="9.7109375" style="24" customWidth="1"/>
    <col min="6" max="6" width="4.85546875" style="24" customWidth="1"/>
    <col min="7" max="7" width="11.85546875" style="24" customWidth="1"/>
    <col min="8" max="8" width="12.5703125" style="24" customWidth="1"/>
    <col min="9" max="15" width="13.5703125" style="24" hidden="1" customWidth="1"/>
    <col min="16" max="16" width="10.42578125" style="24" customWidth="1"/>
    <col min="17" max="17" width="7" style="24" customWidth="1"/>
    <col min="18" max="18" width="8.7109375" style="24" hidden="1" customWidth="1"/>
    <col min="19" max="19" width="10.42578125" style="24" customWidth="1"/>
    <col min="20" max="20" width="29.28515625" style="24" customWidth="1"/>
    <col min="21" max="22" width="11.42578125" style="24"/>
    <col min="23" max="26" width="11.42578125" style="24" customWidth="1"/>
    <col min="27" max="16384" width="11.42578125" style="24"/>
  </cols>
  <sheetData>
    <row r="1" spans="1:26" ht="5.25" customHeight="1"/>
    <row r="2" spans="1:26" ht="5.25" customHeight="1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8"/>
    </row>
    <row r="3" spans="1:26" ht="18">
      <c r="A3" s="304" t="s">
        <v>12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6"/>
    </row>
    <row r="4" spans="1:26" ht="18">
      <c r="A4" s="310" t="s">
        <v>238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2"/>
    </row>
    <row r="5" spans="1:26" ht="15">
      <c r="A5" s="307" t="s">
        <v>311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9"/>
    </row>
    <row r="6" spans="1:26" ht="15">
      <c r="A6" s="320"/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2"/>
      <c r="T6" s="127"/>
    </row>
    <row r="7" spans="1:26" ht="13.15" customHeight="1">
      <c r="A7" s="126"/>
      <c r="B7" s="126"/>
      <c r="C7" s="126"/>
      <c r="D7" s="126"/>
      <c r="E7" s="126"/>
      <c r="F7" s="83" t="s">
        <v>4</v>
      </c>
      <c r="G7" s="83"/>
      <c r="H7" s="87"/>
      <c r="I7" s="315" t="s">
        <v>270</v>
      </c>
      <c r="J7" s="316"/>
      <c r="K7" s="316"/>
      <c r="L7" s="316"/>
      <c r="M7" s="316"/>
      <c r="N7" s="316"/>
      <c r="O7" s="317"/>
      <c r="P7" s="192"/>
      <c r="Q7" s="192"/>
      <c r="R7" s="316"/>
      <c r="S7" s="316"/>
      <c r="T7" s="128"/>
    </row>
    <row r="8" spans="1:26" ht="12.75" customHeight="1" thickBot="1">
      <c r="A8" s="83" t="s">
        <v>3</v>
      </c>
      <c r="B8" s="83"/>
      <c r="C8" s="83"/>
      <c r="D8" s="83"/>
      <c r="E8" s="83"/>
      <c r="F8" s="86" t="s">
        <v>5</v>
      </c>
      <c r="G8" s="84" t="s">
        <v>1</v>
      </c>
      <c r="H8" s="85" t="s">
        <v>227</v>
      </c>
      <c r="I8" s="85" t="s">
        <v>272</v>
      </c>
      <c r="J8" s="85" t="s">
        <v>273</v>
      </c>
      <c r="K8" s="85" t="s">
        <v>282</v>
      </c>
      <c r="L8" s="85" t="s">
        <v>274</v>
      </c>
      <c r="M8" s="85" t="s">
        <v>275</v>
      </c>
      <c r="N8" s="85" t="s">
        <v>271</v>
      </c>
      <c r="O8" s="85" t="s">
        <v>283</v>
      </c>
      <c r="P8" s="192" t="s">
        <v>271</v>
      </c>
      <c r="Q8" s="246" t="s">
        <v>286</v>
      </c>
      <c r="R8" s="246" t="s">
        <v>244</v>
      </c>
      <c r="S8" s="85" t="s">
        <v>2</v>
      </c>
      <c r="T8" s="85"/>
    </row>
    <row r="9" spans="1:26" ht="15.75" thickBot="1">
      <c r="A9" s="87"/>
      <c r="B9" s="88"/>
      <c r="C9" s="88"/>
      <c r="D9" s="88"/>
      <c r="E9" s="88" t="s">
        <v>10</v>
      </c>
      <c r="F9" s="83"/>
      <c r="G9" s="83" t="s">
        <v>229</v>
      </c>
      <c r="H9" s="84" t="s">
        <v>230</v>
      </c>
      <c r="I9" s="84" t="s">
        <v>277</v>
      </c>
      <c r="J9" s="84" t="s">
        <v>278</v>
      </c>
      <c r="K9" s="84" t="s">
        <v>278</v>
      </c>
      <c r="L9" s="84" t="s">
        <v>279</v>
      </c>
      <c r="M9" s="84" t="s">
        <v>280</v>
      </c>
      <c r="N9" s="84" t="s">
        <v>281</v>
      </c>
      <c r="O9" s="84" t="s">
        <v>284</v>
      </c>
      <c r="P9" s="85" t="s">
        <v>276</v>
      </c>
      <c r="Q9" s="247" t="s">
        <v>285</v>
      </c>
      <c r="R9" s="247" t="s">
        <v>246</v>
      </c>
      <c r="S9" s="84" t="s">
        <v>223</v>
      </c>
      <c r="T9" s="85" t="s">
        <v>231</v>
      </c>
      <c r="W9" s="208" t="s">
        <v>268</v>
      </c>
      <c r="X9" s="208"/>
      <c r="Y9" s="209"/>
      <c r="Z9" s="193"/>
    </row>
    <row r="10" spans="1:26" ht="15.75" thickBot="1">
      <c r="A10" s="83"/>
      <c r="B10" s="89" t="s">
        <v>125</v>
      </c>
      <c r="C10" s="89"/>
      <c r="D10" s="89"/>
      <c r="E10" s="89" t="s">
        <v>9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W10" s="193"/>
      <c r="X10" s="193"/>
      <c r="Y10" s="193"/>
      <c r="Z10" s="193"/>
    </row>
    <row r="11" spans="1:26" ht="52.5" thickBot="1">
      <c r="A11" s="26"/>
      <c r="B11" s="29"/>
      <c r="C11" s="29"/>
      <c r="D11" s="29"/>
      <c r="E11" s="29"/>
      <c r="F11" s="28"/>
      <c r="G11" s="28"/>
      <c r="H11" s="28"/>
      <c r="I11" s="194"/>
      <c r="J11" s="194"/>
      <c r="K11" s="194"/>
      <c r="L11" s="194"/>
      <c r="M11" s="194"/>
      <c r="N11" s="194"/>
      <c r="O11" s="194"/>
      <c r="P11" s="194"/>
      <c r="Q11" s="194"/>
      <c r="R11" s="28"/>
      <c r="S11" s="28"/>
      <c r="T11" s="117"/>
      <c r="W11" s="210" t="s">
        <v>264</v>
      </c>
      <c r="X11" s="211" t="s">
        <v>265</v>
      </c>
      <c r="Y11" s="211" t="s">
        <v>266</v>
      </c>
      <c r="Z11" s="212" t="s">
        <v>267</v>
      </c>
    </row>
    <row r="12" spans="1:26" ht="24.95" customHeight="1" thickTop="1">
      <c r="A12" s="7">
        <v>1</v>
      </c>
      <c r="B12" s="6" t="s">
        <v>174</v>
      </c>
      <c r="C12" s="279">
        <v>8038.1983760000003</v>
      </c>
      <c r="D12" s="6">
        <v>2926641180</v>
      </c>
      <c r="E12" s="6" t="s">
        <v>86</v>
      </c>
      <c r="F12" s="7">
        <v>15</v>
      </c>
      <c r="G12" s="31">
        <v>9410</v>
      </c>
      <c r="H12" s="31">
        <f>(G12/15)*F12</f>
        <v>9410</v>
      </c>
      <c r="I12" s="204">
        <f>VLOOKUP(H12,$W$12:$Z$22,1)</f>
        <v>5925.91</v>
      </c>
      <c r="J12" s="205">
        <f>+H12-I12</f>
        <v>3484.09</v>
      </c>
      <c r="K12" s="206">
        <f>VLOOKUP(H12,$W$12:$Z$22,4)</f>
        <v>0.21360000000000001</v>
      </c>
      <c r="L12" s="205">
        <f>J12*K12</f>
        <v>744.20162400000004</v>
      </c>
      <c r="M12" s="207">
        <f t="shared" ref="M12:M21" si="0">VLOOKUP(H12,$W$12:$Z$22,3)</f>
        <v>627.6</v>
      </c>
      <c r="N12" s="205">
        <f>+L12+M12</f>
        <v>1371.8016240000002</v>
      </c>
      <c r="O12" s="207">
        <f t="shared" ref="O12:O21" si="1">VLOOKUP(H12,$W$29:$Y$39,3)</f>
        <v>0</v>
      </c>
      <c r="P12" s="243">
        <f>IF(N12-O12&gt;0,N12-O12,0)</f>
        <v>1371.8016240000002</v>
      </c>
      <c r="Q12" s="243">
        <f>IF(O12-N12&gt;0,O12-N12,0)</f>
        <v>0</v>
      </c>
      <c r="R12" s="31">
        <v>0</v>
      </c>
      <c r="S12" s="31">
        <f>H12-P12+Q12</f>
        <v>8038.1983760000003</v>
      </c>
      <c r="T12" s="117"/>
      <c r="U12" s="114"/>
      <c r="V12" s="116"/>
      <c r="W12" s="195">
        <v>0.01</v>
      </c>
      <c r="X12" s="195">
        <v>285.45</v>
      </c>
      <c r="Y12" s="195">
        <v>0</v>
      </c>
      <c r="Z12" s="200">
        <v>1.9199999999999998E-2</v>
      </c>
    </row>
    <row r="13" spans="1:26" ht="24.95" customHeight="1">
      <c r="A13" s="7">
        <v>2</v>
      </c>
      <c r="B13" s="6" t="s">
        <v>175</v>
      </c>
      <c r="C13" s="279">
        <v>8038.1983760000003</v>
      </c>
      <c r="D13" s="6">
        <v>2928536074</v>
      </c>
      <c r="E13" s="6" t="s">
        <v>86</v>
      </c>
      <c r="F13" s="7">
        <v>15</v>
      </c>
      <c r="G13" s="31">
        <v>9410</v>
      </c>
      <c r="H13" s="31">
        <f t="shared" ref="H13:H21" si="2">(G13/15)*F13</f>
        <v>9410</v>
      </c>
      <c r="I13" s="204">
        <f t="shared" ref="I13:I21" si="3">VLOOKUP(H13,$W$12:$Z$22,1)</f>
        <v>5925.91</v>
      </c>
      <c r="J13" s="205">
        <f t="shared" ref="J13:J21" si="4">+H13-I13</f>
        <v>3484.09</v>
      </c>
      <c r="K13" s="206">
        <f t="shared" ref="K13:K21" si="5">VLOOKUP(H13,$W$12:$Z$22,4)</f>
        <v>0.21360000000000001</v>
      </c>
      <c r="L13" s="205">
        <f t="shared" ref="L13:L21" si="6">J13*K13</f>
        <v>744.20162400000004</v>
      </c>
      <c r="M13" s="207">
        <f t="shared" si="0"/>
        <v>627.6</v>
      </c>
      <c r="N13" s="205">
        <f t="shared" ref="N13:N21" si="7">+L13+M13</f>
        <v>1371.8016240000002</v>
      </c>
      <c r="O13" s="207">
        <f t="shared" si="1"/>
        <v>0</v>
      </c>
      <c r="P13" s="244">
        <f t="shared" ref="P13:P21" si="8">IF(N13-O13&gt;0,N13-O13,0)</f>
        <v>1371.8016240000002</v>
      </c>
      <c r="Q13" s="244">
        <f t="shared" ref="Q13:Q21" si="9">IF(O13-N13&gt;0,O13-N13,0)</f>
        <v>0</v>
      </c>
      <c r="R13" s="31">
        <v>0</v>
      </c>
      <c r="S13" s="31">
        <f t="shared" ref="S13:S20" si="10">H13-P13+Q13</f>
        <v>8038.1983760000003</v>
      </c>
      <c r="T13" s="117"/>
      <c r="U13" s="114"/>
      <c r="V13" s="116"/>
      <c r="W13" s="196">
        <v>285.45999999999998</v>
      </c>
      <c r="X13" s="197">
        <v>2422.8000000000002</v>
      </c>
      <c r="Y13" s="196">
        <v>5.55</v>
      </c>
      <c r="Z13" s="201">
        <v>6.4000000000000001E-2</v>
      </c>
    </row>
    <row r="14" spans="1:26" ht="24.95" customHeight="1">
      <c r="A14" s="7">
        <v>3</v>
      </c>
      <c r="B14" s="6" t="s">
        <v>176</v>
      </c>
      <c r="C14" s="279">
        <v>8038.1983760000003</v>
      </c>
      <c r="D14" s="6">
        <v>2958901945</v>
      </c>
      <c r="E14" s="6" t="s">
        <v>86</v>
      </c>
      <c r="F14" s="7">
        <v>15</v>
      </c>
      <c r="G14" s="31">
        <v>9410</v>
      </c>
      <c r="H14" s="31">
        <f t="shared" si="2"/>
        <v>9410</v>
      </c>
      <c r="I14" s="204">
        <f t="shared" si="3"/>
        <v>5925.91</v>
      </c>
      <c r="J14" s="205">
        <f t="shared" si="4"/>
        <v>3484.09</v>
      </c>
      <c r="K14" s="206">
        <f t="shared" si="5"/>
        <v>0.21360000000000001</v>
      </c>
      <c r="L14" s="205">
        <f t="shared" si="6"/>
        <v>744.20162400000004</v>
      </c>
      <c r="M14" s="207">
        <f t="shared" si="0"/>
        <v>627.6</v>
      </c>
      <c r="N14" s="205">
        <f t="shared" si="7"/>
        <v>1371.8016240000002</v>
      </c>
      <c r="O14" s="207">
        <f t="shared" si="1"/>
        <v>0</v>
      </c>
      <c r="P14" s="244">
        <f t="shared" si="8"/>
        <v>1371.8016240000002</v>
      </c>
      <c r="Q14" s="244">
        <f t="shared" si="9"/>
        <v>0</v>
      </c>
      <c r="R14" s="31">
        <v>0</v>
      </c>
      <c r="S14" s="31">
        <f t="shared" si="10"/>
        <v>8038.1983760000003</v>
      </c>
      <c r="T14" s="117"/>
      <c r="U14" s="114"/>
      <c r="V14" s="116"/>
      <c r="W14" s="197">
        <v>2422.81</v>
      </c>
      <c r="X14" s="197">
        <v>4257.8999999999996</v>
      </c>
      <c r="Y14" s="196">
        <v>142.19999999999999</v>
      </c>
      <c r="Z14" s="201">
        <v>0.10879999999999999</v>
      </c>
    </row>
    <row r="15" spans="1:26" ht="24.95" customHeight="1">
      <c r="A15" s="7">
        <v>4</v>
      </c>
      <c r="B15" s="6" t="s">
        <v>181</v>
      </c>
      <c r="C15" s="279">
        <v>8038.1983760000003</v>
      </c>
      <c r="D15" s="6">
        <v>2927146159</v>
      </c>
      <c r="E15" s="6" t="s">
        <v>86</v>
      </c>
      <c r="F15" s="7">
        <v>15</v>
      </c>
      <c r="G15" s="31">
        <v>9410</v>
      </c>
      <c r="H15" s="31">
        <f t="shared" si="2"/>
        <v>9410</v>
      </c>
      <c r="I15" s="204">
        <f t="shared" si="3"/>
        <v>5925.91</v>
      </c>
      <c r="J15" s="205">
        <f t="shared" si="4"/>
        <v>3484.09</v>
      </c>
      <c r="K15" s="206">
        <f t="shared" si="5"/>
        <v>0.21360000000000001</v>
      </c>
      <c r="L15" s="205">
        <f t="shared" si="6"/>
        <v>744.20162400000004</v>
      </c>
      <c r="M15" s="207">
        <f t="shared" si="0"/>
        <v>627.6</v>
      </c>
      <c r="N15" s="205">
        <f t="shared" si="7"/>
        <v>1371.8016240000002</v>
      </c>
      <c r="O15" s="207">
        <f t="shared" si="1"/>
        <v>0</v>
      </c>
      <c r="P15" s="244">
        <f t="shared" si="8"/>
        <v>1371.8016240000002</v>
      </c>
      <c r="Q15" s="244">
        <f t="shared" si="9"/>
        <v>0</v>
      </c>
      <c r="R15" s="31">
        <v>0</v>
      </c>
      <c r="S15" s="31">
        <f t="shared" si="10"/>
        <v>8038.1983760000003</v>
      </c>
      <c r="T15" s="117"/>
      <c r="U15" s="114"/>
      <c r="V15" s="116"/>
      <c r="W15" s="197">
        <v>4257.91</v>
      </c>
      <c r="X15" s="197">
        <v>4949.55</v>
      </c>
      <c r="Y15" s="196">
        <v>341.85</v>
      </c>
      <c r="Z15" s="201">
        <v>0.16</v>
      </c>
    </row>
    <row r="16" spans="1:26" ht="24.95" customHeight="1">
      <c r="A16" s="7">
        <v>5</v>
      </c>
      <c r="B16" s="6" t="s">
        <v>177</v>
      </c>
      <c r="C16" s="279">
        <v>8038.1983760000003</v>
      </c>
      <c r="D16" s="6">
        <v>2922062690</v>
      </c>
      <c r="E16" s="6" t="s">
        <v>86</v>
      </c>
      <c r="F16" s="7">
        <v>15</v>
      </c>
      <c r="G16" s="31">
        <v>9410</v>
      </c>
      <c r="H16" s="31">
        <f t="shared" si="2"/>
        <v>9410</v>
      </c>
      <c r="I16" s="204">
        <f t="shared" si="3"/>
        <v>5925.91</v>
      </c>
      <c r="J16" s="205">
        <f t="shared" si="4"/>
        <v>3484.09</v>
      </c>
      <c r="K16" s="206">
        <f t="shared" si="5"/>
        <v>0.21360000000000001</v>
      </c>
      <c r="L16" s="205">
        <f t="shared" si="6"/>
        <v>744.20162400000004</v>
      </c>
      <c r="M16" s="207">
        <f t="shared" si="0"/>
        <v>627.6</v>
      </c>
      <c r="N16" s="205">
        <f t="shared" si="7"/>
        <v>1371.8016240000002</v>
      </c>
      <c r="O16" s="207">
        <f t="shared" si="1"/>
        <v>0</v>
      </c>
      <c r="P16" s="244">
        <f t="shared" si="8"/>
        <v>1371.8016240000002</v>
      </c>
      <c r="Q16" s="244">
        <f t="shared" si="9"/>
        <v>0</v>
      </c>
      <c r="R16" s="31">
        <v>0</v>
      </c>
      <c r="S16" s="31">
        <f t="shared" si="10"/>
        <v>8038.1983760000003</v>
      </c>
      <c r="T16" s="117"/>
      <c r="U16" s="114"/>
      <c r="V16" s="116"/>
      <c r="W16" s="197">
        <v>4949.5600000000004</v>
      </c>
      <c r="X16" s="197">
        <v>5925.9</v>
      </c>
      <c r="Y16" s="196">
        <v>452.55</v>
      </c>
      <c r="Z16" s="201">
        <v>0.1792</v>
      </c>
    </row>
    <row r="17" spans="1:26" ht="24.95" customHeight="1">
      <c r="A17" s="7">
        <v>6</v>
      </c>
      <c r="B17" s="23" t="s">
        <v>178</v>
      </c>
      <c r="C17" s="280"/>
      <c r="D17" s="23"/>
      <c r="E17" s="23" t="s">
        <v>86</v>
      </c>
      <c r="F17" s="163">
        <v>15</v>
      </c>
      <c r="G17" s="31">
        <v>9410</v>
      </c>
      <c r="H17" s="31">
        <f t="shared" si="2"/>
        <v>9410</v>
      </c>
      <c r="I17" s="204">
        <f t="shared" si="3"/>
        <v>5925.91</v>
      </c>
      <c r="J17" s="205">
        <f t="shared" si="4"/>
        <v>3484.09</v>
      </c>
      <c r="K17" s="206">
        <f t="shared" si="5"/>
        <v>0.21360000000000001</v>
      </c>
      <c r="L17" s="205">
        <f t="shared" si="6"/>
        <v>744.20162400000004</v>
      </c>
      <c r="M17" s="207">
        <f t="shared" si="0"/>
        <v>627.6</v>
      </c>
      <c r="N17" s="205">
        <f t="shared" si="7"/>
        <v>1371.8016240000002</v>
      </c>
      <c r="O17" s="207">
        <f t="shared" si="1"/>
        <v>0</v>
      </c>
      <c r="P17" s="244">
        <f t="shared" si="8"/>
        <v>1371.8016240000002</v>
      </c>
      <c r="Q17" s="244">
        <f t="shared" si="9"/>
        <v>0</v>
      </c>
      <c r="R17" s="31">
        <v>0</v>
      </c>
      <c r="S17" s="31">
        <f t="shared" si="10"/>
        <v>8038.1983760000003</v>
      </c>
      <c r="T17" s="117"/>
      <c r="U17" s="300" t="s">
        <v>309</v>
      </c>
      <c r="V17" s="116"/>
      <c r="W17" s="197">
        <v>5925.91</v>
      </c>
      <c r="X17" s="197">
        <v>11951.85</v>
      </c>
      <c r="Y17" s="196">
        <v>627.6</v>
      </c>
      <c r="Z17" s="201">
        <v>0.21360000000000001</v>
      </c>
    </row>
    <row r="18" spans="1:26" ht="24.95" customHeight="1">
      <c r="A18" s="7">
        <v>7</v>
      </c>
      <c r="B18" s="6" t="s">
        <v>307</v>
      </c>
      <c r="C18" s="279">
        <v>8038.1983760000003</v>
      </c>
      <c r="D18" s="6">
        <v>2945216133</v>
      </c>
      <c r="E18" s="6" t="s">
        <v>86</v>
      </c>
      <c r="F18" s="7">
        <v>15</v>
      </c>
      <c r="G18" s="31">
        <v>9410</v>
      </c>
      <c r="H18" s="31">
        <f t="shared" si="2"/>
        <v>9410</v>
      </c>
      <c r="I18" s="204">
        <f t="shared" si="3"/>
        <v>5925.91</v>
      </c>
      <c r="J18" s="205">
        <f t="shared" si="4"/>
        <v>3484.09</v>
      </c>
      <c r="K18" s="206">
        <f t="shared" si="5"/>
        <v>0.21360000000000001</v>
      </c>
      <c r="L18" s="205">
        <f t="shared" si="6"/>
        <v>744.20162400000004</v>
      </c>
      <c r="M18" s="207">
        <f t="shared" si="0"/>
        <v>627.6</v>
      </c>
      <c r="N18" s="205">
        <f t="shared" si="7"/>
        <v>1371.8016240000002</v>
      </c>
      <c r="O18" s="207">
        <f t="shared" si="1"/>
        <v>0</v>
      </c>
      <c r="P18" s="244">
        <f t="shared" si="8"/>
        <v>1371.8016240000002</v>
      </c>
      <c r="Q18" s="244">
        <f t="shared" si="9"/>
        <v>0</v>
      </c>
      <c r="R18" s="31">
        <v>0</v>
      </c>
      <c r="S18" s="31">
        <f t="shared" si="10"/>
        <v>8038.1983760000003</v>
      </c>
      <c r="T18" s="117"/>
      <c r="U18" s="114"/>
      <c r="V18" s="116"/>
      <c r="W18" s="197">
        <v>11951.86</v>
      </c>
      <c r="X18" s="197">
        <v>18837.75</v>
      </c>
      <c r="Y18" s="197">
        <v>1914.75</v>
      </c>
      <c r="Z18" s="201">
        <v>0.23519999999999999</v>
      </c>
    </row>
    <row r="19" spans="1:26" ht="24.95" customHeight="1">
      <c r="A19" s="7">
        <v>8</v>
      </c>
      <c r="B19" s="6" t="s">
        <v>312</v>
      </c>
      <c r="C19" s="279">
        <v>8038.1983760000003</v>
      </c>
      <c r="D19" s="6">
        <v>2613901467</v>
      </c>
      <c r="E19" s="6" t="s">
        <v>86</v>
      </c>
      <c r="F19" s="7">
        <v>15</v>
      </c>
      <c r="G19" s="31">
        <v>9410</v>
      </c>
      <c r="H19" s="31">
        <f t="shared" si="2"/>
        <v>9410</v>
      </c>
      <c r="I19" s="204">
        <f t="shared" si="3"/>
        <v>5925.91</v>
      </c>
      <c r="J19" s="205">
        <f t="shared" si="4"/>
        <v>3484.09</v>
      </c>
      <c r="K19" s="206">
        <f t="shared" si="5"/>
        <v>0.21360000000000001</v>
      </c>
      <c r="L19" s="205">
        <f t="shared" si="6"/>
        <v>744.20162400000004</v>
      </c>
      <c r="M19" s="207">
        <f t="shared" si="0"/>
        <v>627.6</v>
      </c>
      <c r="N19" s="205">
        <f t="shared" si="7"/>
        <v>1371.8016240000002</v>
      </c>
      <c r="O19" s="207">
        <f t="shared" si="1"/>
        <v>0</v>
      </c>
      <c r="P19" s="244">
        <f t="shared" si="8"/>
        <v>1371.8016240000002</v>
      </c>
      <c r="Q19" s="244">
        <f t="shared" si="9"/>
        <v>0</v>
      </c>
      <c r="R19" s="31">
        <v>0</v>
      </c>
      <c r="S19" s="31">
        <f t="shared" si="10"/>
        <v>8038.1983760000003</v>
      </c>
      <c r="T19" s="117"/>
      <c r="U19" s="114"/>
      <c r="V19" s="116"/>
      <c r="W19" s="197">
        <v>18837.759999999998</v>
      </c>
      <c r="X19" s="197">
        <v>35964.300000000003</v>
      </c>
      <c r="Y19" s="197">
        <v>3534.3</v>
      </c>
      <c r="Z19" s="201">
        <v>0.3</v>
      </c>
    </row>
    <row r="20" spans="1:26" ht="21.75" customHeight="1">
      <c r="A20" s="7">
        <v>9</v>
      </c>
      <c r="B20" s="6" t="s">
        <v>179</v>
      </c>
      <c r="C20" s="279">
        <v>8038.1983760000003</v>
      </c>
      <c r="D20" s="6">
        <v>2913494985</v>
      </c>
      <c r="E20" s="6" t="s">
        <v>86</v>
      </c>
      <c r="F20" s="7">
        <v>15</v>
      </c>
      <c r="G20" s="31">
        <v>9410</v>
      </c>
      <c r="H20" s="31">
        <f t="shared" si="2"/>
        <v>9410</v>
      </c>
      <c r="I20" s="204">
        <f t="shared" si="3"/>
        <v>5925.91</v>
      </c>
      <c r="J20" s="205">
        <f t="shared" si="4"/>
        <v>3484.09</v>
      </c>
      <c r="K20" s="206">
        <f t="shared" si="5"/>
        <v>0.21360000000000001</v>
      </c>
      <c r="L20" s="205">
        <f t="shared" si="6"/>
        <v>744.20162400000004</v>
      </c>
      <c r="M20" s="207">
        <f t="shared" si="0"/>
        <v>627.6</v>
      </c>
      <c r="N20" s="205">
        <f t="shared" si="7"/>
        <v>1371.8016240000002</v>
      </c>
      <c r="O20" s="207">
        <f t="shared" si="1"/>
        <v>0</v>
      </c>
      <c r="P20" s="244">
        <f t="shared" si="8"/>
        <v>1371.8016240000002</v>
      </c>
      <c r="Q20" s="244">
        <f t="shared" si="9"/>
        <v>0</v>
      </c>
      <c r="R20" s="31">
        <v>0</v>
      </c>
      <c r="S20" s="31">
        <f t="shared" si="10"/>
        <v>8038.1983760000003</v>
      </c>
      <c r="T20" s="117"/>
      <c r="U20" s="114"/>
      <c r="V20" s="116"/>
      <c r="W20" s="197">
        <v>35964.31</v>
      </c>
      <c r="X20" s="197">
        <v>47952.3</v>
      </c>
      <c r="Y20" s="197">
        <v>8672.25</v>
      </c>
      <c r="Z20" s="201">
        <v>0.32</v>
      </c>
    </row>
    <row r="21" spans="1:26" ht="24.95" customHeight="1">
      <c r="A21" s="7">
        <v>10</v>
      </c>
      <c r="B21" s="6" t="s">
        <v>180</v>
      </c>
      <c r="C21" s="279">
        <v>12704.839472</v>
      </c>
      <c r="D21" s="6">
        <v>2985264804</v>
      </c>
      <c r="E21" s="6" t="s">
        <v>87</v>
      </c>
      <c r="F21" s="7">
        <v>15</v>
      </c>
      <c r="G21" s="31">
        <v>15440</v>
      </c>
      <c r="H21" s="31">
        <f t="shared" si="2"/>
        <v>15439.999999999998</v>
      </c>
      <c r="I21" s="204">
        <f t="shared" si="3"/>
        <v>11951.86</v>
      </c>
      <c r="J21" s="205">
        <f t="shared" si="4"/>
        <v>3488.1399999999976</v>
      </c>
      <c r="K21" s="206">
        <f t="shared" si="5"/>
        <v>0.23519999999999999</v>
      </c>
      <c r="L21" s="205">
        <f t="shared" si="6"/>
        <v>820.41052799999943</v>
      </c>
      <c r="M21" s="207">
        <f t="shared" si="0"/>
        <v>1914.75</v>
      </c>
      <c r="N21" s="205">
        <f t="shared" si="7"/>
        <v>2735.1605279999994</v>
      </c>
      <c r="O21" s="207">
        <f t="shared" si="1"/>
        <v>0</v>
      </c>
      <c r="P21" s="245">
        <f t="shared" si="8"/>
        <v>2735.1605279999994</v>
      </c>
      <c r="Q21" s="245">
        <f t="shared" si="9"/>
        <v>0</v>
      </c>
      <c r="R21" s="31">
        <v>0</v>
      </c>
      <c r="S21" s="31">
        <f>H21-P21+Q21-R21</f>
        <v>12704.839472</v>
      </c>
      <c r="T21" s="117"/>
      <c r="U21" s="303" t="s">
        <v>309</v>
      </c>
      <c r="V21" s="116"/>
      <c r="W21" s="197">
        <v>47952.31</v>
      </c>
      <c r="X21" s="197">
        <v>143856.9</v>
      </c>
      <c r="Y21" s="197">
        <v>12508.35</v>
      </c>
      <c r="Z21" s="201">
        <v>0.34</v>
      </c>
    </row>
    <row r="22" spans="1:26" ht="24.95" customHeight="1" thickBot="1">
      <c r="A22" s="7"/>
      <c r="B22" s="6"/>
      <c r="C22" s="6"/>
      <c r="D22" s="6"/>
      <c r="E22" s="6"/>
      <c r="F22" s="7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4"/>
      <c r="T22" s="129"/>
      <c r="W22" s="198">
        <v>143856.91</v>
      </c>
      <c r="X22" s="199" t="s">
        <v>287</v>
      </c>
      <c r="Y22" s="198">
        <v>45115.95</v>
      </c>
      <c r="Z22" s="202">
        <v>0.35</v>
      </c>
    </row>
    <row r="23" spans="1:26" ht="13.5" thickTop="1">
      <c r="A23" s="38"/>
      <c r="B23" s="38"/>
      <c r="C23" s="38"/>
      <c r="D23" s="38"/>
      <c r="E23" s="38"/>
      <c r="F23" s="39"/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56"/>
    </row>
    <row r="24" spans="1:26" ht="15.75" thickBot="1">
      <c r="A24" s="318" t="s">
        <v>80</v>
      </c>
      <c r="B24" s="319"/>
      <c r="C24" s="319"/>
      <c r="D24" s="319"/>
      <c r="E24" s="319"/>
      <c r="F24" s="319"/>
      <c r="G24" s="43">
        <f>SUM(G12:G22)</f>
        <v>100130</v>
      </c>
      <c r="H24" s="43">
        <f>SUM(H12:H22)</f>
        <v>100130</v>
      </c>
      <c r="I24" s="43">
        <f t="shared" ref="I24:P24" si="11">SUM(I12:I22)</f>
        <v>65285.05</v>
      </c>
      <c r="J24" s="43">
        <f t="shared" si="11"/>
        <v>34844.949999999997</v>
      </c>
      <c r="K24" s="43">
        <f t="shared" si="11"/>
        <v>2.1576</v>
      </c>
      <c r="L24" s="43">
        <f t="shared" si="11"/>
        <v>7518.2251440000009</v>
      </c>
      <c r="M24" s="43">
        <f t="shared" si="11"/>
        <v>7563.1500000000005</v>
      </c>
      <c r="N24" s="43">
        <f t="shared" si="11"/>
        <v>15081.375143999998</v>
      </c>
      <c r="O24" s="43">
        <f t="shared" si="11"/>
        <v>0</v>
      </c>
      <c r="P24" s="43">
        <f t="shared" si="11"/>
        <v>15081.375143999998</v>
      </c>
      <c r="Q24" s="43">
        <f>SUM(Q12:Q22)</f>
        <v>0</v>
      </c>
      <c r="R24" s="43">
        <f>SUM(R12:R22)</f>
        <v>0</v>
      </c>
      <c r="S24" s="43">
        <f>SUM(S12:S22)</f>
        <v>85048.624856000009</v>
      </c>
      <c r="T24" s="43"/>
      <c r="V24" s="167"/>
    </row>
    <row r="25" spans="1:26" ht="13.5" thickTop="1"/>
    <row r="26" spans="1:26" ht="13.5" thickBot="1"/>
    <row r="27" spans="1:26">
      <c r="B27" s="45" t="s">
        <v>172</v>
      </c>
      <c r="C27" s="45"/>
      <c r="D27" s="45"/>
      <c r="R27" s="45" t="s">
        <v>295</v>
      </c>
      <c r="S27" s="45"/>
      <c r="W27" s="213" t="s">
        <v>269</v>
      </c>
      <c r="X27" s="214"/>
      <c r="Y27" s="215"/>
    </row>
    <row r="28" spans="1:26" ht="26.25" thickBot="1">
      <c r="B28" s="45" t="s">
        <v>259</v>
      </c>
      <c r="C28" s="45"/>
      <c r="D28" s="45"/>
      <c r="R28" s="313" t="s">
        <v>288</v>
      </c>
      <c r="S28" s="313"/>
      <c r="T28" s="313"/>
      <c r="W28" s="216" t="s">
        <v>264</v>
      </c>
      <c r="X28" s="217" t="s">
        <v>265</v>
      </c>
      <c r="Y28" s="218" t="s">
        <v>266</v>
      </c>
    </row>
    <row r="29" spans="1:26" ht="13.5" thickTop="1">
      <c r="B29" s="46" t="s">
        <v>11</v>
      </c>
      <c r="C29" s="46"/>
      <c r="D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314" t="s">
        <v>294</v>
      </c>
      <c r="S29" s="314"/>
      <c r="T29" s="314"/>
      <c r="W29" s="195">
        <v>0.01</v>
      </c>
      <c r="X29" s="195">
        <v>872.85</v>
      </c>
      <c r="Y29" s="195">
        <v>200.85</v>
      </c>
    </row>
    <row r="30" spans="1:26">
      <c r="W30" s="196">
        <v>872.86</v>
      </c>
      <c r="X30" s="197">
        <v>1309.2</v>
      </c>
      <c r="Y30" s="196">
        <v>200.7</v>
      </c>
    </row>
    <row r="31" spans="1:26">
      <c r="B31" s="50"/>
      <c r="C31" s="50"/>
      <c r="D31" s="50"/>
      <c r="F31" s="45"/>
      <c r="W31" s="197">
        <v>1309.21</v>
      </c>
      <c r="X31" s="197">
        <v>1713.6</v>
      </c>
      <c r="Y31" s="196">
        <v>200.7</v>
      </c>
    </row>
    <row r="32" spans="1:26">
      <c r="A32" s="46"/>
      <c r="B32" s="51"/>
      <c r="C32" s="51"/>
      <c r="D32" s="51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W32" s="197">
        <v>1713.61</v>
      </c>
      <c r="X32" s="197">
        <v>1745.7</v>
      </c>
      <c r="Y32" s="196">
        <v>193.8</v>
      </c>
    </row>
    <row r="33" spans="2:25">
      <c r="W33" s="197">
        <v>1745.71</v>
      </c>
      <c r="X33" s="197">
        <v>2193.75</v>
      </c>
      <c r="Y33" s="196">
        <v>188.7</v>
      </c>
    </row>
    <row r="34" spans="2:25">
      <c r="W34" s="197">
        <v>2193.7600000000002</v>
      </c>
      <c r="X34" s="197">
        <v>2327.5500000000002</v>
      </c>
      <c r="Y34" s="196">
        <v>174.75</v>
      </c>
    </row>
    <row r="35" spans="2:25">
      <c r="W35" s="197">
        <v>2327.56</v>
      </c>
      <c r="X35" s="197">
        <v>2632.65</v>
      </c>
      <c r="Y35" s="196">
        <v>160.35</v>
      </c>
    </row>
    <row r="36" spans="2:25">
      <c r="B36" s="45"/>
      <c r="C36" s="45"/>
      <c r="D36" s="45"/>
      <c r="W36" s="197">
        <v>2632.66</v>
      </c>
      <c r="X36" s="197">
        <v>3071.4</v>
      </c>
      <c r="Y36" s="196">
        <v>145.35</v>
      </c>
    </row>
    <row r="37" spans="2:25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W37" s="197">
        <v>3071.41</v>
      </c>
      <c r="X37" s="197">
        <v>3510.15</v>
      </c>
      <c r="Y37" s="196">
        <v>125.1</v>
      </c>
    </row>
    <row r="38" spans="2:25">
      <c r="W38" s="197">
        <v>3510.16</v>
      </c>
      <c r="X38" s="197">
        <v>3642.6</v>
      </c>
      <c r="Y38" s="196">
        <v>107.4</v>
      </c>
    </row>
    <row r="39" spans="2:25" ht="13.5" thickBot="1">
      <c r="W39" s="198">
        <v>3642.61</v>
      </c>
      <c r="X39" s="199" t="s">
        <v>287</v>
      </c>
      <c r="Y39" s="199">
        <v>0</v>
      </c>
    </row>
    <row r="40" spans="2:25" ht="13.5" thickTop="1"/>
  </sheetData>
  <sheetProtection selectLockedCells="1" selectUnlockedCells="1"/>
  <mergeCells count="9">
    <mergeCell ref="A3:T3"/>
    <mergeCell ref="A5:T5"/>
    <mergeCell ref="A4:T4"/>
    <mergeCell ref="R28:T28"/>
    <mergeCell ref="R29:T29"/>
    <mergeCell ref="I7:O7"/>
    <mergeCell ref="A24:F24"/>
    <mergeCell ref="A6:S6"/>
    <mergeCell ref="R7:S7"/>
  </mergeCells>
  <phoneticPr fontId="10" type="noConversion"/>
  <pageMargins left="0.51181102362204722" right="0" top="0.9055118110236221" bottom="0.74803149606299213" header="0.31496062992125984" footer="0.31496062992125984"/>
  <pageSetup scale="89" orientation="landscape" verticalDpi="0" r:id="rId1"/>
  <headerFooter alignWithMargins="0"/>
  <ignoredErrors>
    <ignoredError sqref="I13:Q21 L12:Q1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2:AC146"/>
  <sheetViews>
    <sheetView topLeftCell="A54" workbookViewId="0">
      <selection activeCell="B61" sqref="B61"/>
    </sheetView>
  </sheetViews>
  <sheetFormatPr baseColWidth="10" defaultRowHeight="12.75"/>
  <cols>
    <col min="1" max="1" width="3.28515625" style="24" customWidth="1"/>
    <col min="2" max="2" width="35.28515625" style="24" customWidth="1"/>
    <col min="3" max="4" width="35.28515625" style="24" hidden="1" customWidth="1"/>
    <col min="5" max="5" width="27.140625" style="24" customWidth="1"/>
    <col min="6" max="6" width="4" style="24" customWidth="1"/>
    <col min="7" max="7" width="11.5703125" style="24" customWidth="1"/>
    <col min="8" max="8" width="11.7109375" style="24" customWidth="1"/>
    <col min="9" max="15" width="14.5703125" style="24" hidden="1" customWidth="1"/>
    <col min="16" max="16" width="12.5703125" style="24" customWidth="1"/>
    <col min="17" max="17" width="10.42578125" style="24" customWidth="1"/>
    <col min="18" max="18" width="7.42578125" style="24" hidden="1" customWidth="1"/>
    <col min="19" max="19" width="11.42578125" style="24" customWidth="1"/>
    <col min="20" max="20" width="31.5703125" style="24" customWidth="1"/>
    <col min="21" max="22" width="0" style="24" hidden="1" customWidth="1"/>
    <col min="23" max="23" width="12.85546875" style="24" hidden="1" customWidth="1"/>
    <col min="24" max="24" width="0" style="24" hidden="1" customWidth="1"/>
    <col min="25" max="25" width="11.42578125" style="294"/>
    <col min="26" max="29" width="0" style="24" hidden="1" customWidth="1"/>
    <col min="30" max="16384" width="11.42578125" style="24"/>
  </cols>
  <sheetData>
    <row r="2" spans="1:29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8"/>
      <c r="W2" s="114">
        <v>4845779.17</v>
      </c>
    </row>
    <row r="3" spans="1:29" ht="18" customHeight="1">
      <c r="A3" s="323" t="s">
        <v>12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7"/>
      <c r="W3" s="114">
        <v>-199742.75</v>
      </c>
    </row>
    <row r="4" spans="1:29" ht="18" customHeight="1">
      <c r="A4" s="323" t="s">
        <v>238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5"/>
      <c r="W4" s="114"/>
    </row>
    <row r="5" spans="1:29" ht="18" customHeight="1">
      <c r="A5" s="328" t="s">
        <v>313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30"/>
      <c r="W5" s="114">
        <f>SUM(W2:W3)</f>
        <v>4646036.42</v>
      </c>
    </row>
    <row r="6" spans="1:29" ht="18" customHeight="1" thickBot="1">
      <c r="A6" s="328" t="s">
        <v>224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2"/>
    </row>
    <row r="7" spans="1:29" ht="13.5" thickBot="1">
      <c r="A7" s="25"/>
      <c r="B7" s="82"/>
      <c r="C7" s="82"/>
      <c r="D7" s="82"/>
      <c r="E7" s="82"/>
      <c r="F7" s="84" t="s">
        <v>4</v>
      </c>
      <c r="G7" s="169"/>
      <c r="H7" s="219"/>
      <c r="I7" s="315" t="s">
        <v>290</v>
      </c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84"/>
      <c r="Z7" s="208" t="s">
        <v>268</v>
      </c>
      <c r="AA7" s="208"/>
      <c r="AB7" s="209"/>
      <c r="AC7" s="193"/>
    </row>
    <row r="8" spans="1:29" ht="12.75" customHeight="1" thickBot="1">
      <c r="A8" s="26" t="s">
        <v>3</v>
      </c>
      <c r="B8" s="83"/>
      <c r="C8" s="83"/>
      <c r="D8" s="83"/>
      <c r="E8" s="83"/>
      <c r="F8" s="86" t="s">
        <v>5</v>
      </c>
      <c r="G8" s="84" t="s">
        <v>1</v>
      </c>
      <c r="H8" s="84" t="s">
        <v>227</v>
      </c>
      <c r="I8" s="315" t="s">
        <v>270</v>
      </c>
      <c r="J8" s="316"/>
      <c r="K8" s="316"/>
      <c r="L8" s="316"/>
      <c r="M8" s="316"/>
      <c r="N8" s="316"/>
      <c r="O8" s="316"/>
      <c r="P8" s="316"/>
      <c r="Q8" s="317"/>
      <c r="R8" s="85" t="s">
        <v>245</v>
      </c>
      <c r="S8" s="85" t="s">
        <v>230</v>
      </c>
      <c r="T8" s="83" t="s">
        <v>232</v>
      </c>
      <c r="Z8" s="193"/>
      <c r="AA8" s="193"/>
      <c r="AB8" s="193"/>
      <c r="AC8" s="193"/>
    </row>
    <row r="9" spans="1:29" ht="22.9" customHeight="1" thickBot="1">
      <c r="A9" s="27"/>
      <c r="B9" s="88"/>
      <c r="C9" s="88"/>
      <c r="D9" s="88"/>
      <c r="E9" s="88" t="s">
        <v>10</v>
      </c>
      <c r="F9" s="83"/>
      <c r="G9" s="83" t="s">
        <v>7</v>
      </c>
      <c r="H9" s="83" t="s">
        <v>230</v>
      </c>
      <c r="I9" s="85" t="s">
        <v>272</v>
      </c>
      <c r="J9" s="85" t="s">
        <v>273</v>
      </c>
      <c r="K9" s="85" t="s">
        <v>282</v>
      </c>
      <c r="L9" s="85" t="s">
        <v>274</v>
      </c>
      <c r="M9" s="85" t="s">
        <v>275</v>
      </c>
      <c r="N9" s="85" t="s">
        <v>271</v>
      </c>
      <c r="O9" s="85" t="s">
        <v>283</v>
      </c>
      <c r="P9" s="192" t="s">
        <v>271</v>
      </c>
      <c r="Q9" s="85" t="s">
        <v>286</v>
      </c>
      <c r="R9" s="84" t="s">
        <v>246</v>
      </c>
      <c r="S9" s="84" t="s">
        <v>233</v>
      </c>
      <c r="T9" s="83"/>
      <c r="Z9" s="210" t="s">
        <v>264</v>
      </c>
      <c r="AA9" s="211" t="s">
        <v>265</v>
      </c>
      <c r="AB9" s="211" t="s">
        <v>266</v>
      </c>
      <c r="AC9" s="212" t="s">
        <v>267</v>
      </c>
    </row>
    <row r="10" spans="1:29" ht="19.149999999999999" customHeight="1" thickTop="1">
      <c r="A10" s="178"/>
      <c r="B10" s="89" t="s">
        <v>14</v>
      </c>
      <c r="C10" s="89"/>
      <c r="D10" s="89"/>
      <c r="E10" s="89" t="s">
        <v>9</v>
      </c>
      <c r="F10" s="85"/>
      <c r="G10" s="85"/>
      <c r="H10" s="85"/>
      <c r="I10" s="84" t="s">
        <v>277</v>
      </c>
      <c r="J10" s="84" t="s">
        <v>278</v>
      </c>
      <c r="K10" s="84" t="s">
        <v>278</v>
      </c>
      <c r="L10" s="84" t="s">
        <v>279</v>
      </c>
      <c r="M10" s="84" t="s">
        <v>280</v>
      </c>
      <c r="N10" s="84" t="s">
        <v>281</v>
      </c>
      <c r="O10" s="84" t="s">
        <v>284</v>
      </c>
      <c r="P10" s="85" t="s">
        <v>276</v>
      </c>
      <c r="Q10" s="84" t="s">
        <v>285</v>
      </c>
      <c r="R10" s="85"/>
      <c r="S10" s="85"/>
      <c r="T10" s="85"/>
      <c r="Z10" s="195">
        <v>0.01</v>
      </c>
      <c r="AA10" s="195">
        <v>285.45</v>
      </c>
      <c r="AB10" s="195">
        <v>0</v>
      </c>
      <c r="AC10" s="200">
        <v>1.9199999999999998E-2</v>
      </c>
    </row>
    <row r="11" spans="1:29" s="30" customFormat="1" ht="15">
      <c r="A11" s="28"/>
      <c r="B11" s="29" t="s">
        <v>20</v>
      </c>
      <c r="C11" s="29"/>
      <c r="D11" s="29"/>
      <c r="E11" s="29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Y11" s="295"/>
      <c r="Z11" s="196">
        <v>285.45999999999998</v>
      </c>
      <c r="AA11" s="197">
        <v>2422.8000000000002</v>
      </c>
      <c r="AB11" s="196">
        <v>5.55</v>
      </c>
      <c r="AC11" s="201">
        <v>6.4000000000000001E-2</v>
      </c>
    </row>
    <row r="12" spans="1:29" ht="24.95" customHeight="1">
      <c r="A12" s="7">
        <v>1</v>
      </c>
      <c r="B12" s="6" t="s">
        <v>157</v>
      </c>
      <c r="C12" s="6"/>
      <c r="D12" s="6">
        <v>1147869304</v>
      </c>
      <c r="E12" s="6" t="s">
        <v>13</v>
      </c>
      <c r="F12" s="7">
        <v>15</v>
      </c>
      <c r="G12" s="31">
        <v>19391</v>
      </c>
      <c r="H12" s="31">
        <f>(G12/15)*F12</f>
        <v>19391</v>
      </c>
      <c r="I12" s="204">
        <f>VLOOKUP(H12,$Z$10:$AC$20,1)</f>
        <v>18837.759999999998</v>
      </c>
      <c r="J12" s="205">
        <f>+H12-I12</f>
        <v>553.2400000000016</v>
      </c>
      <c r="K12" s="206">
        <f>VLOOKUP(H12,$Z$10:$AC$20,4)</f>
        <v>0.3</v>
      </c>
      <c r="L12" s="205">
        <f>J12*K12</f>
        <v>165.97200000000046</v>
      </c>
      <c r="M12" s="207">
        <f>VLOOKUP(H12,$Z$10:$AC$20,3)</f>
        <v>3534.3</v>
      </c>
      <c r="N12" s="205">
        <f>+L12+M12</f>
        <v>3700.2720000000008</v>
      </c>
      <c r="O12" s="207">
        <f>VLOOKUP(H12,$Z$27:$AB$37,3)</f>
        <v>0</v>
      </c>
      <c r="P12" s="251">
        <f>IF(N12-O12&gt;0,N12-O12,0)</f>
        <v>3700.2720000000008</v>
      </c>
      <c r="Q12" s="251">
        <f>IF(O12-N12&gt;0,O12-N12,0)</f>
        <v>0</v>
      </c>
      <c r="R12" s="31">
        <v>0</v>
      </c>
      <c r="S12" s="31">
        <f>+H12-P12+Q12-R12</f>
        <v>15690.727999999999</v>
      </c>
      <c r="T12" s="31"/>
      <c r="U12" s="24">
        <f t="shared" ref="U12:U27" si="0">G12*2</f>
        <v>38782</v>
      </c>
      <c r="W12" s="114">
        <v>38782</v>
      </c>
      <c r="X12" s="116">
        <f>W12/2</f>
        <v>19391</v>
      </c>
      <c r="Z12" s="197">
        <v>2422.81</v>
      </c>
      <c r="AA12" s="197">
        <v>4257.8999999999996</v>
      </c>
      <c r="AB12" s="196">
        <v>142.19999999999999</v>
      </c>
      <c r="AC12" s="201">
        <v>0.10879999999999999</v>
      </c>
    </row>
    <row r="13" spans="1:29" ht="24.95" customHeight="1">
      <c r="A13" s="7">
        <v>2</v>
      </c>
      <c r="B13" s="6" t="s">
        <v>88</v>
      </c>
      <c r="C13" s="6"/>
      <c r="D13" s="6">
        <v>2840779296</v>
      </c>
      <c r="E13" s="6" t="s">
        <v>291</v>
      </c>
      <c r="F13" s="7">
        <v>15</v>
      </c>
      <c r="G13" s="31">
        <v>5200</v>
      </c>
      <c r="H13" s="31">
        <f t="shared" ref="H13:H35" si="1">(G13/15)*F13</f>
        <v>5200</v>
      </c>
      <c r="I13" s="204">
        <f>VLOOKUP(H13,$Z$10:$AC$20,1)</f>
        <v>4949.5600000000004</v>
      </c>
      <c r="J13" s="205">
        <f t="shared" ref="J13:J35" si="2">+H13-I13</f>
        <v>250.4399999999996</v>
      </c>
      <c r="K13" s="206">
        <f>VLOOKUP(H13,$Z$10:$AC$20,4)</f>
        <v>0.1792</v>
      </c>
      <c r="L13" s="205">
        <f t="shared" ref="L13:L35" si="3">J13*K13</f>
        <v>44.878847999999927</v>
      </c>
      <c r="M13" s="207">
        <f>VLOOKUP(H13,$Z$10:$AC$20,3)</f>
        <v>452.55</v>
      </c>
      <c r="N13" s="205">
        <f t="shared" ref="N13:N35" si="4">+L13+M13</f>
        <v>497.42884799999996</v>
      </c>
      <c r="O13" s="207">
        <f>VLOOKUP(H13,$Z$27:$AB$37,3)</f>
        <v>0</v>
      </c>
      <c r="P13" s="249">
        <f t="shared" ref="P13:P35" si="5">IF(N13-O13&gt;0,N13-O13,0)</f>
        <v>497.42884799999996</v>
      </c>
      <c r="Q13" s="249">
        <f t="shared" ref="Q13:Q35" si="6">IF(O13-N13&gt;0,O13-N13,0)</f>
        <v>0</v>
      </c>
      <c r="R13" s="31">
        <v>0</v>
      </c>
      <c r="S13" s="31">
        <f>+H13-P13+Q13-R13</f>
        <v>4702.5711520000004</v>
      </c>
      <c r="T13" s="31"/>
      <c r="U13" s="24">
        <f t="shared" si="0"/>
        <v>10400</v>
      </c>
      <c r="W13" s="114">
        <v>10400</v>
      </c>
      <c r="X13" s="116">
        <f t="shared" ref="X13:X102" si="7">W13/2</f>
        <v>5200</v>
      </c>
      <c r="Z13" s="197">
        <v>4257.91</v>
      </c>
      <c r="AA13" s="197">
        <v>4949.55</v>
      </c>
      <c r="AB13" s="196">
        <v>341.85</v>
      </c>
      <c r="AC13" s="201">
        <v>0.16</v>
      </c>
    </row>
    <row r="14" spans="1:29" ht="24.95" customHeight="1">
      <c r="A14" s="7">
        <v>3</v>
      </c>
      <c r="B14" s="6" t="s">
        <v>126</v>
      </c>
      <c r="C14" s="6"/>
      <c r="D14" s="6">
        <v>2935881757</v>
      </c>
      <c r="E14" s="6" t="s">
        <v>97</v>
      </c>
      <c r="F14" s="7">
        <v>15</v>
      </c>
      <c r="G14" s="31">
        <v>3280.55</v>
      </c>
      <c r="H14" s="31">
        <f t="shared" si="1"/>
        <v>3280.55</v>
      </c>
      <c r="I14" s="204">
        <f>VLOOKUP(H14,$Z$10:$AC$20,1)</f>
        <v>2422.81</v>
      </c>
      <c r="J14" s="205">
        <f t="shared" si="2"/>
        <v>857.74000000000024</v>
      </c>
      <c r="K14" s="206">
        <f>VLOOKUP(H14,$Z$10:$AC$20,4)</f>
        <v>0.10879999999999999</v>
      </c>
      <c r="L14" s="205">
        <f t="shared" si="3"/>
        <v>93.322112000000018</v>
      </c>
      <c r="M14" s="207">
        <f>VLOOKUP(H14,$Z$10:$AC$20,3)</f>
        <v>142.19999999999999</v>
      </c>
      <c r="N14" s="205">
        <f t="shared" si="4"/>
        <v>235.52211199999999</v>
      </c>
      <c r="O14" s="207">
        <f>VLOOKUP(H14,$Z$27:$AB$37,3)</f>
        <v>125.1</v>
      </c>
      <c r="P14" s="249">
        <f t="shared" si="5"/>
        <v>110.422112</v>
      </c>
      <c r="Q14" s="249">
        <f t="shared" si="6"/>
        <v>0</v>
      </c>
      <c r="R14" s="31">
        <v>0</v>
      </c>
      <c r="S14" s="31">
        <f>+H14-P14+Q14-R14</f>
        <v>3170.127888</v>
      </c>
      <c r="T14" s="31"/>
      <c r="U14" s="24">
        <f t="shared" si="0"/>
        <v>6561.1</v>
      </c>
      <c r="W14" s="114">
        <v>4224</v>
      </c>
      <c r="X14" s="116">
        <f t="shared" si="7"/>
        <v>2112</v>
      </c>
      <c r="Z14" s="197">
        <v>4949.5600000000004</v>
      </c>
      <c r="AA14" s="197">
        <v>5925.9</v>
      </c>
      <c r="AB14" s="196">
        <v>452.55</v>
      </c>
      <c r="AC14" s="201">
        <v>0.1792</v>
      </c>
    </row>
    <row r="15" spans="1:29" ht="24.95" customHeight="1">
      <c r="A15" s="7">
        <v>4</v>
      </c>
      <c r="B15" s="23" t="s">
        <v>15</v>
      </c>
      <c r="C15" s="23"/>
      <c r="D15" s="23"/>
      <c r="E15" s="23" t="s">
        <v>16</v>
      </c>
      <c r="F15" s="163">
        <v>15</v>
      </c>
      <c r="G15" s="31">
        <v>3475</v>
      </c>
      <c r="H15" s="31">
        <f t="shared" si="1"/>
        <v>3475</v>
      </c>
      <c r="I15" s="204">
        <f>VLOOKUP(H15,$Z$10:$AC$20,1)</f>
        <v>2422.81</v>
      </c>
      <c r="J15" s="205">
        <f t="shared" si="2"/>
        <v>1052.19</v>
      </c>
      <c r="K15" s="206">
        <f>VLOOKUP(H15,$Z$10:$AC$20,4)</f>
        <v>0.10879999999999999</v>
      </c>
      <c r="L15" s="205">
        <f t="shared" si="3"/>
        <v>114.478272</v>
      </c>
      <c r="M15" s="207">
        <f>VLOOKUP(H15,$Z$10:$AC$20,3)</f>
        <v>142.19999999999999</v>
      </c>
      <c r="N15" s="205">
        <f t="shared" si="4"/>
        <v>256.67827199999999</v>
      </c>
      <c r="O15" s="207">
        <f>VLOOKUP(H15,$Z$27:$AB$37,3)</f>
        <v>125.1</v>
      </c>
      <c r="P15" s="249">
        <f t="shared" si="5"/>
        <v>131.578272</v>
      </c>
      <c r="Q15" s="249">
        <f t="shared" si="6"/>
        <v>0</v>
      </c>
      <c r="R15" s="31">
        <v>0</v>
      </c>
      <c r="S15" s="31">
        <f>+H15-P15+Q15-R15</f>
        <v>3343.4217279999998</v>
      </c>
      <c r="T15" s="31"/>
      <c r="U15" s="24">
        <f t="shared" si="0"/>
        <v>6950</v>
      </c>
      <c r="W15" s="114">
        <v>6370</v>
      </c>
      <c r="X15" s="116">
        <f t="shared" si="7"/>
        <v>3185</v>
      </c>
      <c r="Y15" s="294" t="s">
        <v>308</v>
      </c>
      <c r="Z15" s="197">
        <v>5925.91</v>
      </c>
      <c r="AA15" s="197">
        <v>11951.85</v>
      </c>
      <c r="AB15" s="196">
        <v>627.6</v>
      </c>
      <c r="AC15" s="201">
        <v>0.21360000000000001</v>
      </c>
    </row>
    <row r="16" spans="1:29" ht="24.95" customHeight="1">
      <c r="A16" s="7">
        <v>5</v>
      </c>
      <c r="B16" s="23" t="s">
        <v>17</v>
      </c>
      <c r="C16" s="23"/>
      <c r="D16" s="23"/>
      <c r="E16" s="23" t="s">
        <v>18</v>
      </c>
      <c r="F16" s="163">
        <v>15</v>
      </c>
      <c r="G16" s="31">
        <v>1761.3</v>
      </c>
      <c r="H16" s="31">
        <f t="shared" si="1"/>
        <v>1761.3</v>
      </c>
      <c r="I16" s="204">
        <f>VLOOKUP(H16,$Z$10:$AC$20,1)</f>
        <v>285.45999999999998</v>
      </c>
      <c r="J16" s="205">
        <f t="shared" si="2"/>
        <v>1475.84</v>
      </c>
      <c r="K16" s="206">
        <f>VLOOKUP(H16,$Z$10:$AC$20,4)</f>
        <v>6.4000000000000001E-2</v>
      </c>
      <c r="L16" s="205">
        <f t="shared" si="3"/>
        <v>94.453760000000003</v>
      </c>
      <c r="M16" s="207">
        <f>VLOOKUP(H16,$Z$10:$AC$20,3)</f>
        <v>5.55</v>
      </c>
      <c r="N16" s="205">
        <f t="shared" si="4"/>
        <v>100.00376</v>
      </c>
      <c r="O16" s="207">
        <f>VLOOKUP(H16,$Z$27:$AB$37,3)</f>
        <v>188.7</v>
      </c>
      <c r="P16" s="249">
        <f t="shared" si="5"/>
        <v>0</v>
      </c>
      <c r="Q16" s="249">
        <f t="shared" si="6"/>
        <v>88.696239999999989</v>
      </c>
      <c r="R16" s="31">
        <v>0</v>
      </c>
      <c r="S16" s="31">
        <f>+H16-P16+Q16-R16</f>
        <v>1849.9962399999999</v>
      </c>
      <c r="T16" s="31"/>
      <c r="U16" s="24">
        <f t="shared" si="0"/>
        <v>3522.6</v>
      </c>
      <c r="W16" s="114">
        <v>3420</v>
      </c>
      <c r="X16" s="116">
        <f t="shared" si="7"/>
        <v>1710</v>
      </c>
      <c r="Z16" s="197">
        <v>11951.86</v>
      </c>
      <c r="AA16" s="197">
        <v>18837.75</v>
      </c>
      <c r="AB16" s="197">
        <v>1914.75</v>
      </c>
      <c r="AC16" s="201">
        <v>0.23519999999999999</v>
      </c>
    </row>
    <row r="17" spans="1:29" ht="24.95" customHeight="1">
      <c r="A17" s="7"/>
      <c r="B17" s="12" t="s">
        <v>212</v>
      </c>
      <c r="C17" s="12"/>
      <c r="D17" s="12"/>
      <c r="E17" s="47"/>
      <c r="F17" s="162"/>
      <c r="G17" s="189"/>
      <c r="H17" s="31"/>
      <c r="I17" s="204"/>
      <c r="J17" s="205"/>
      <c r="K17" s="206"/>
      <c r="L17" s="205"/>
      <c r="M17" s="207"/>
      <c r="N17" s="205"/>
      <c r="O17" s="207"/>
      <c r="P17" s="249"/>
      <c r="Q17" s="249"/>
      <c r="R17" s="31"/>
      <c r="S17" s="31"/>
      <c r="T17" s="31"/>
      <c r="U17" s="24">
        <f t="shared" si="0"/>
        <v>0</v>
      </c>
      <c r="W17" s="114"/>
      <c r="X17" s="116">
        <f t="shared" si="7"/>
        <v>0</v>
      </c>
      <c r="Z17" s="197">
        <v>18837.759999999998</v>
      </c>
      <c r="AA17" s="197">
        <v>35964.300000000003</v>
      </c>
      <c r="AB17" s="197">
        <v>3534.3</v>
      </c>
      <c r="AC17" s="201">
        <v>0.3</v>
      </c>
    </row>
    <row r="18" spans="1:29" ht="24.95" customHeight="1">
      <c r="A18" s="7">
        <v>6</v>
      </c>
      <c r="B18" s="6" t="s">
        <v>128</v>
      </c>
      <c r="C18" s="6"/>
      <c r="D18" s="6">
        <v>2717329156</v>
      </c>
      <c r="E18" s="6" t="s">
        <v>19</v>
      </c>
      <c r="F18" s="7">
        <v>15</v>
      </c>
      <c r="G18" s="31">
        <v>8661</v>
      </c>
      <c r="H18" s="31">
        <f>(G18/15)*F18</f>
        <v>8661</v>
      </c>
      <c r="I18" s="204">
        <f>VLOOKUP(H18,$Z$10:$AC$20,1)</f>
        <v>5925.91</v>
      </c>
      <c r="J18" s="205">
        <f t="shared" si="2"/>
        <v>2735.09</v>
      </c>
      <c r="K18" s="206">
        <f>VLOOKUP(H18,$Z$10:$AC$20,4)</f>
        <v>0.21360000000000001</v>
      </c>
      <c r="L18" s="205">
        <f t="shared" si="3"/>
        <v>584.21522400000003</v>
      </c>
      <c r="M18" s="207">
        <f>VLOOKUP(H18,$Z$10:$AC$20,3)</f>
        <v>627.6</v>
      </c>
      <c r="N18" s="205">
        <f t="shared" si="4"/>
        <v>1211.8152239999999</v>
      </c>
      <c r="O18" s="207">
        <f>VLOOKUP(H18,$Z$27:$AB$37,3)</f>
        <v>0</v>
      </c>
      <c r="P18" s="249">
        <f t="shared" si="5"/>
        <v>1211.8152239999999</v>
      </c>
      <c r="Q18" s="249">
        <f t="shared" si="6"/>
        <v>0</v>
      </c>
      <c r="R18" s="31">
        <v>0</v>
      </c>
      <c r="S18" s="31">
        <f>+H18-P18+Q18-R18</f>
        <v>7449.1847760000001</v>
      </c>
      <c r="T18" s="31"/>
      <c r="U18" s="24">
        <f t="shared" si="0"/>
        <v>17322</v>
      </c>
      <c r="W18" s="114">
        <v>17322</v>
      </c>
      <c r="X18" s="116">
        <f t="shared" si="7"/>
        <v>8661</v>
      </c>
      <c r="Z18" s="197">
        <v>35964.31</v>
      </c>
      <c r="AA18" s="197">
        <v>47952.3</v>
      </c>
      <c r="AB18" s="197">
        <v>8672.25</v>
      </c>
      <c r="AC18" s="201">
        <v>0.32</v>
      </c>
    </row>
    <row r="19" spans="1:29" ht="24.95" customHeight="1">
      <c r="A19" s="7"/>
      <c r="B19" s="12" t="s">
        <v>129</v>
      </c>
      <c r="C19" s="12"/>
      <c r="D19" s="12"/>
      <c r="E19" s="6"/>
      <c r="F19" s="7"/>
      <c r="G19" s="31"/>
      <c r="H19" s="31"/>
      <c r="I19" s="204"/>
      <c r="J19" s="205"/>
      <c r="K19" s="206"/>
      <c r="L19" s="205"/>
      <c r="M19" s="207"/>
      <c r="N19" s="205"/>
      <c r="O19" s="207"/>
      <c r="P19" s="249"/>
      <c r="Q19" s="249"/>
      <c r="R19" s="31"/>
      <c r="S19" s="31"/>
      <c r="T19" s="31"/>
      <c r="U19" s="24">
        <f t="shared" si="0"/>
        <v>0</v>
      </c>
      <c r="W19" s="114"/>
      <c r="X19" s="116">
        <f t="shared" si="7"/>
        <v>0</v>
      </c>
      <c r="Z19" s="197">
        <v>47952.31</v>
      </c>
      <c r="AA19" s="197">
        <v>143856.9</v>
      </c>
      <c r="AB19" s="197">
        <v>12508.35</v>
      </c>
      <c r="AC19" s="201">
        <v>0.34</v>
      </c>
    </row>
    <row r="20" spans="1:29" ht="24.95" customHeight="1" thickBot="1">
      <c r="A20" s="7">
        <v>7</v>
      </c>
      <c r="B20" s="6" t="s">
        <v>60</v>
      </c>
      <c r="C20" s="6"/>
      <c r="D20" s="6"/>
      <c r="E20" s="6" t="s">
        <v>81</v>
      </c>
      <c r="F20" s="7">
        <v>15</v>
      </c>
      <c r="G20" s="31">
        <v>3280.55</v>
      </c>
      <c r="H20" s="31">
        <f t="shared" si="1"/>
        <v>3280.55</v>
      </c>
      <c r="I20" s="204">
        <f>VLOOKUP(H20,$Z$10:$AC$20,1)</f>
        <v>2422.81</v>
      </c>
      <c r="J20" s="205">
        <f t="shared" si="2"/>
        <v>857.74000000000024</v>
      </c>
      <c r="K20" s="206">
        <f>VLOOKUP(H20,$Z$10:$AC$20,4)</f>
        <v>0.10879999999999999</v>
      </c>
      <c r="L20" s="205">
        <f t="shared" si="3"/>
        <v>93.322112000000018</v>
      </c>
      <c r="M20" s="207">
        <f>VLOOKUP(H20,$Z$10:$AC$20,3)</f>
        <v>142.19999999999999</v>
      </c>
      <c r="N20" s="205">
        <f t="shared" si="4"/>
        <v>235.52211199999999</v>
      </c>
      <c r="O20" s="207">
        <f>VLOOKUP(H20,$Z$27:$AB$37,3)</f>
        <v>125.1</v>
      </c>
      <c r="P20" s="249">
        <f t="shared" si="5"/>
        <v>110.422112</v>
      </c>
      <c r="Q20" s="249">
        <f t="shared" si="6"/>
        <v>0</v>
      </c>
      <c r="R20" s="31">
        <v>0</v>
      </c>
      <c r="S20" s="31">
        <f>+H20-P20+Q20-R20</f>
        <v>3170.127888</v>
      </c>
      <c r="T20" s="31"/>
      <c r="U20" s="24">
        <f t="shared" si="0"/>
        <v>6561.1</v>
      </c>
      <c r="W20" s="114">
        <v>3854</v>
      </c>
      <c r="X20" s="116">
        <f t="shared" si="7"/>
        <v>1927</v>
      </c>
      <c r="Z20" s="198">
        <v>143856.91</v>
      </c>
      <c r="AA20" s="199" t="s">
        <v>287</v>
      </c>
      <c r="AB20" s="198">
        <v>45115.95</v>
      </c>
      <c r="AC20" s="202">
        <v>0.35</v>
      </c>
    </row>
    <row r="21" spans="1:29" ht="24.95" customHeight="1" thickTop="1">
      <c r="A21" s="7"/>
      <c r="B21" s="12" t="s">
        <v>21</v>
      </c>
      <c r="C21" s="12"/>
      <c r="D21" s="12"/>
      <c r="E21" s="6"/>
      <c r="F21" s="7"/>
      <c r="G21" s="31"/>
      <c r="H21" s="31"/>
      <c r="I21" s="204"/>
      <c r="J21" s="205"/>
      <c r="K21" s="206"/>
      <c r="L21" s="205"/>
      <c r="M21" s="207"/>
      <c r="N21" s="205"/>
      <c r="O21" s="207"/>
      <c r="P21" s="249"/>
      <c r="Q21" s="249"/>
      <c r="R21" s="31"/>
      <c r="S21" s="31"/>
      <c r="T21" s="31"/>
      <c r="U21" s="24">
        <f t="shared" si="0"/>
        <v>0</v>
      </c>
      <c r="W21" s="114"/>
      <c r="X21" s="116">
        <f t="shared" si="7"/>
        <v>0</v>
      </c>
    </row>
    <row r="22" spans="1:29" ht="24.95" customHeight="1">
      <c r="A22" s="7">
        <v>8</v>
      </c>
      <c r="B22" s="6" t="s">
        <v>209</v>
      </c>
      <c r="C22" s="6"/>
      <c r="D22" s="6"/>
      <c r="E22" s="6" t="s">
        <v>256</v>
      </c>
      <c r="F22" s="163">
        <v>15</v>
      </c>
      <c r="G22" s="31">
        <v>3475.22</v>
      </c>
      <c r="H22" s="31">
        <f t="shared" si="1"/>
        <v>3475.22</v>
      </c>
      <c r="I22" s="204">
        <f>VLOOKUP(H22,$Z$10:$AC$20,1)</f>
        <v>2422.81</v>
      </c>
      <c r="J22" s="205">
        <f t="shared" si="2"/>
        <v>1052.4099999999999</v>
      </c>
      <c r="K22" s="206">
        <f>VLOOKUP(H22,$Z$10:$AC$20,4)</f>
        <v>0.10879999999999999</v>
      </c>
      <c r="L22" s="205">
        <f t="shared" si="3"/>
        <v>114.50220799999998</v>
      </c>
      <c r="M22" s="207">
        <f>VLOOKUP(H22,$Z$10:$AC$20,3)</f>
        <v>142.19999999999999</v>
      </c>
      <c r="N22" s="205">
        <f t="shared" si="4"/>
        <v>256.70220799999998</v>
      </c>
      <c r="O22" s="207">
        <f>VLOOKUP(H22,$Z$27:$AB$37,3)</f>
        <v>125.1</v>
      </c>
      <c r="P22" s="249">
        <f t="shared" si="5"/>
        <v>131.60220799999999</v>
      </c>
      <c r="Q22" s="249">
        <f t="shared" si="6"/>
        <v>0</v>
      </c>
      <c r="R22" s="31">
        <v>0</v>
      </c>
      <c r="S22" s="31">
        <f>+H22-P22+Q22-R22</f>
        <v>3343.617792</v>
      </c>
      <c r="T22" s="31"/>
      <c r="U22" s="24">
        <f t="shared" si="0"/>
        <v>6950.44</v>
      </c>
      <c r="W22" s="114">
        <v>4342</v>
      </c>
      <c r="X22" s="116">
        <f t="shared" si="7"/>
        <v>2171</v>
      </c>
    </row>
    <row r="23" spans="1:29" ht="24.95" customHeight="1">
      <c r="A23" s="7"/>
      <c r="B23" s="12" t="s">
        <v>130</v>
      </c>
      <c r="C23" s="12"/>
      <c r="D23" s="12"/>
      <c r="E23" s="6"/>
      <c r="F23" s="7"/>
      <c r="G23" s="31"/>
      <c r="H23" s="31"/>
      <c r="I23" s="204"/>
      <c r="J23" s="205"/>
      <c r="K23" s="206"/>
      <c r="L23" s="205"/>
      <c r="M23" s="207"/>
      <c r="N23" s="205"/>
      <c r="O23" s="207"/>
      <c r="P23" s="249"/>
      <c r="Q23" s="249"/>
      <c r="R23" s="31"/>
      <c r="S23" s="31"/>
      <c r="T23" s="31"/>
      <c r="U23" s="24">
        <f t="shared" si="0"/>
        <v>0</v>
      </c>
      <c r="W23" s="114"/>
      <c r="X23" s="116">
        <f t="shared" si="7"/>
        <v>0</v>
      </c>
    </row>
    <row r="24" spans="1:29" ht="24.95" customHeight="1" thickBot="1">
      <c r="A24" s="7">
        <v>9</v>
      </c>
      <c r="B24" s="6" t="s">
        <v>193</v>
      </c>
      <c r="C24" s="6"/>
      <c r="D24" s="6"/>
      <c r="E24" s="6" t="s">
        <v>131</v>
      </c>
      <c r="F24" s="7">
        <v>15</v>
      </c>
      <c r="G24" s="31">
        <v>3475.22</v>
      </c>
      <c r="H24" s="31">
        <f t="shared" si="1"/>
        <v>3475.22</v>
      </c>
      <c r="I24" s="204">
        <f>VLOOKUP(H24,$Z$10:$AC$20,1)</f>
        <v>2422.81</v>
      </c>
      <c r="J24" s="205">
        <f t="shared" si="2"/>
        <v>1052.4099999999999</v>
      </c>
      <c r="K24" s="206">
        <f>VLOOKUP(H24,$Z$10:$AC$20,4)</f>
        <v>0.10879999999999999</v>
      </c>
      <c r="L24" s="205">
        <f t="shared" si="3"/>
        <v>114.50220799999998</v>
      </c>
      <c r="M24" s="207">
        <f>VLOOKUP(H24,$Z$10:$AC$20,3)</f>
        <v>142.19999999999999</v>
      </c>
      <c r="N24" s="205">
        <f t="shared" si="4"/>
        <v>256.70220799999998</v>
      </c>
      <c r="O24" s="207">
        <f>VLOOKUP(H24,$Z$27:$AB$37,3)</f>
        <v>125.1</v>
      </c>
      <c r="P24" s="249">
        <f t="shared" si="5"/>
        <v>131.60220799999999</v>
      </c>
      <c r="Q24" s="249">
        <f t="shared" si="6"/>
        <v>0</v>
      </c>
      <c r="R24" s="31">
        <v>0</v>
      </c>
      <c r="S24" s="31">
        <f>+H24-P24+Q24-R24</f>
        <v>3343.617792</v>
      </c>
      <c r="T24" s="31"/>
      <c r="U24" s="24">
        <f t="shared" si="0"/>
        <v>6950.44</v>
      </c>
      <c r="W24" s="114">
        <v>6748</v>
      </c>
      <c r="X24" s="116">
        <f t="shared" si="7"/>
        <v>3374</v>
      </c>
    </row>
    <row r="25" spans="1:29" ht="24.95" customHeight="1">
      <c r="A25" s="7"/>
      <c r="B25" s="12" t="s">
        <v>115</v>
      </c>
      <c r="C25" s="12"/>
      <c r="D25" s="12"/>
      <c r="E25" s="6"/>
      <c r="F25" s="7"/>
      <c r="G25" s="31"/>
      <c r="H25" s="31"/>
      <c r="I25" s="204"/>
      <c r="J25" s="205"/>
      <c r="K25" s="206"/>
      <c r="L25" s="205"/>
      <c r="M25" s="207"/>
      <c r="N25" s="205"/>
      <c r="O25" s="207"/>
      <c r="P25" s="249"/>
      <c r="Q25" s="249"/>
      <c r="R25" s="31"/>
      <c r="S25" s="31"/>
      <c r="T25" s="31"/>
      <c r="U25" s="24">
        <f t="shared" si="0"/>
        <v>0</v>
      </c>
      <c r="W25" s="114"/>
      <c r="X25" s="116">
        <f t="shared" si="7"/>
        <v>0</v>
      </c>
      <c r="Z25" s="213" t="s">
        <v>269</v>
      </c>
      <c r="AA25" s="214"/>
      <c r="AB25" s="215"/>
    </row>
    <row r="26" spans="1:29" ht="24.95" customHeight="1" thickBot="1">
      <c r="A26" s="7">
        <v>10</v>
      </c>
      <c r="B26" s="6" t="s">
        <v>132</v>
      </c>
      <c r="C26" s="6"/>
      <c r="D26" s="6"/>
      <c r="E26" s="6" t="s">
        <v>219</v>
      </c>
      <c r="F26" s="7">
        <v>15</v>
      </c>
      <c r="G26" s="31">
        <v>3475.22</v>
      </c>
      <c r="H26" s="31">
        <f t="shared" si="1"/>
        <v>3475.22</v>
      </c>
      <c r="I26" s="204">
        <f>VLOOKUP(H26,$Z$10:$AC$20,1)</f>
        <v>2422.81</v>
      </c>
      <c r="J26" s="205">
        <f t="shared" si="2"/>
        <v>1052.4099999999999</v>
      </c>
      <c r="K26" s="206">
        <f>VLOOKUP(H26,$Z$10:$AC$20,4)</f>
        <v>0.10879999999999999</v>
      </c>
      <c r="L26" s="205">
        <f t="shared" si="3"/>
        <v>114.50220799999998</v>
      </c>
      <c r="M26" s="207">
        <f>VLOOKUP(H26,$Z$10:$AC$20,3)</f>
        <v>142.19999999999999</v>
      </c>
      <c r="N26" s="205">
        <f t="shared" si="4"/>
        <v>256.70220799999998</v>
      </c>
      <c r="O26" s="207">
        <f>VLOOKUP(H26,$Z$27:$AB$37,3)</f>
        <v>125.1</v>
      </c>
      <c r="P26" s="249">
        <f t="shared" si="5"/>
        <v>131.60220799999999</v>
      </c>
      <c r="Q26" s="249">
        <f t="shared" si="6"/>
        <v>0</v>
      </c>
      <c r="R26" s="31">
        <v>0</v>
      </c>
      <c r="S26" s="31">
        <f>+H26-P26+Q26-R26</f>
        <v>3343.617792</v>
      </c>
      <c r="T26" s="31"/>
      <c r="U26" s="24">
        <f t="shared" si="0"/>
        <v>6950.44</v>
      </c>
      <c r="W26" s="114">
        <v>6748</v>
      </c>
      <c r="X26" s="116">
        <f t="shared" si="7"/>
        <v>3374</v>
      </c>
      <c r="Z26" s="216" t="s">
        <v>264</v>
      </c>
      <c r="AA26" s="217" t="s">
        <v>265</v>
      </c>
      <c r="AB26" s="218" t="s">
        <v>266</v>
      </c>
    </row>
    <row r="27" spans="1:29" ht="24.95" customHeight="1" thickTop="1">
      <c r="A27" s="7">
        <v>11</v>
      </c>
      <c r="B27" s="6" t="s">
        <v>220</v>
      </c>
      <c r="C27" s="6"/>
      <c r="D27" s="6"/>
      <c r="E27" s="6" t="s">
        <v>82</v>
      </c>
      <c r="F27" s="7">
        <v>15</v>
      </c>
      <c r="G27" s="31">
        <v>3475.22</v>
      </c>
      <c r="H27" s="31">
        <f t="shared" si="1"/>
        <v>3475.22</v>
      </c>
      <c r="I27" s="204">
        <f>VLOOKUP(H27,$Z$10:$AC$20,1)</f>
        <v>2422.81</v>
      </c>
      <c r="J27" s="205">
        <f t="shared" si="2"/>
        <v>1052.4099999999999</v>
      </c>
      <c r="K27" s="206">
        <f>VLOOKUP(H27,$Z$10:$AC$20,4)</f>
        <v>0.10879999999999999</v>
      </c>
      <c r="L27" s="205">
        <f t="shared" si="3"/>
        <v>114.50220799999998</v>
      </c>
      <c r="M27" s="207">
        <f>VLOOKUP(H27,$Z$10:$AC$20,3)</f>
        <v>142.19999999999999</v>
      </c>
      <c r="N27" s="205">
        <f t="shared" si="4"/>
        <v>256.70220799999998</v>
      </c>
      <c r="O27" s="207">
        <f>VLOOKUP(H27,$Z$27:$AB$37,3)</f>
        <v>125.1</v>
      </c>
      <c r="P27" s="249">
        <f t="shared" si="5"/>
        <v>131.60220799999999</v>
      </c>
      <c r="Q27" s="249">
        <f t="shared" si="6"/>
        <v>0</v>
      </c>
      <c r="R27" s="31">
        <v>0</v>
      </c>
      <c r="S27" s="31">
        <f>+H27-P27+Q27-R27</f>
        <v>3343.617792</v>
      </c>
      <c r="T27" s="31"/>
      <c r="U27" s="24">
        <f t="shared" si="0"/>
        <v>6950.44</v>
      </c>
      <c r="W27" s="114">
        <v>6748</v>
      </c>
      <c r="X27" s="116">
        <f t="shared" si="7"/>
        <v>3374</v>
      </c>
      <c r="Z27" s="195">
        <v>0.01</v>
      </c>
      <c r="AA27" s="195">
        <v>872.85</v>
      </c>
      <c r="AB27" s="195">
        <v>200.85</v>
      </c>
    </row>
    <row r="28" spans="1:29" ht="24.95" customHeight="1">
      <c r="A28" s="7">
        <v>12</v>
      </c>
      <c r="B28" s="6" t="s">
        <v>194</v>
      </c>
      <c r="C28" s="6"/>
      <c r="D28" s="6"/>
      <c r="E28" s="6" t="s">
        <v>195</v>
      </c>
      <c r="F28" s="7">
        <v>15</v>
      </c>
      <c r="G28" s="8">
        <v>2111.5</v>
      </c>
      <c r="H28" s="31">
        <f t="shared" si="1"/>
        <v>2111.5</v>
      </c>
      <c r="I28" s="204">
        <f>VLOOKUP(H28,$Z$10:$AC$20,1)</f>
        <v>285.45999999999998</v>
      </c>
      <c r="J28" s="205">
        <f t="shared" si="2"/>
        <v>1826.04</v>
      </c>
      <c r="K28" s="206">
        <f>VLOOKUP(H28,$Z$10:$AC$20,4)</f>
        <v>6.4000000000000001E-2</v>
      </c>
      <c r="L28" s="205">
        <f t="shared" si="3"/>
        <v>116.86656000000001</v>
      </c>
      <c r="M28" s="207">
        <f>VLOOKUP(H28,$Z$10:$AC$20,3)</f>
        <v>5.55</v>
      </c>
      <c r="N28" s="205">
        <f t="shared" si="4"/>
        <v>122.41656</v>
      </c>
      <c r="O28" s="207">
        <f>VLOOKUP(H28,$Z$27:$AB$37,3)</f>
        <v>188.7</v>
      </c>
      <c r="P28" s="249">
        <f t="shared" si="5"/>
        <v>0</v>
      </c>
      <c r="Q28" s="249">
        <f>IF(O28-N28&gt;0,O28-N28,0)</f>
        <v>66.283439999999985</v>
      </c>
      <c r="R28" s="8">
        <v>0</v>
      </c>
      <c r="S28" s="31">
        <f>+H28-P28+Q28-R28</f>
        <v>2177.7834400000002</v>
      </c>
      <c r="T28" s="31"/>
      <c r="W28" s="114"/>
      <c r="X28" s="116"/>
      <c r="Z28" s="196">
        <v>872.86</v>
      </c>
      <c r="AA28" s="197">
        <v>1309.2</v>
      </c>
      <c r="AB28" s="196">
        <v>200.7</v>
      </c>
    </row>
    <row r="29" spans="1:29" ht="24.95" customHeight="1">
      <c r="A29" s="7"/>
      <c r="B29" s="12" t="s">
        <v>90</v>
      </c>
      <c r="C29" s="12"/>
      <c r="D29" s="12"/>
      <c r="E29" s="6"/>
      <c r="F29" s="7"/>
      <c r="G29" s="31"/>
      <c r="H29" s="31">
        <f t="shared" si="1"/>
        <v>0</v>
      </c>
      <c r="I29" s="204"/>
      <c r="J29" s="205"/>
      <c r="K29" s="206"/>
      <c r="L29" s="205"/>
      <c r="M29" s="207"/>
      <c r="N29" s="205"/>
      <c r="O29" s="207"/>
      <c r="P29" s="249"/>
      <c r="Q29" s="249"/>
      <c r="R29" s="31"/>
      <c r="S29" s="31"/>
      <c r="T29" s="31"/>
      <c r="U29" s="24">
        <f t="shared" ref="U29:U35" si="8">G29*2</f>
        <v>0</v>
      </c>
      <c r="W29" s="114"/>
      <c r="X29" s="116">
        <f t="shared" si="7"/>
        <v>0</v>
      </c>
      <c r="Z29" s="197">
        <v>1309.21</v>
      </c>
      <c r="AA29" s="197">
        <v>1713.6</v>
      </c>
      <c r="AB29" s="196">
        <v>200.7</v>
      </c>
    </row>
    <row r="30" spans="1:29" ht="24.95" customHeight="1">
      <c r="A30" s="7">
        <v>13</v>
      </c>
      <c r="B30" s="6" t="s">
        <v>133</v>
      </c>
      <c r="C30" s="6"/>
      <c r="D30" s="6"/>
      <c r="E30" s="6" t="s">
        <v>23</v>
      </c>
      <c r="F30" s="7">
        <v>15</v>
      </c>
      <c r="G30" s="31">
        <v>3185</v>
      </c>
      <c r="H30" s="31">
        <f t="shared" si="1"/>
        <v>3185</v>
      </c>
      <c r="I30" s="204">
        <f>VLOOKUP(H30,$Z$10:$AC$20,1)</f>
        <v>2422.81</v>
      </c>
      <c r="J30" s="205">
        <f t="shared" si="2"/>
        <v>762.19</v>
      </c>
      <c r="K30" s="206">
        <f>VLOOKUP(H30,$Z$10:$AC$20,4)</f>
        <v>0.10879999999999999</v>
      </c>
      <c r="L30" s="205">
        <f t="shared" si="3"/>
        <v>82.926271999999997</v>
      </c>
      <c r="M30" s="207">
        <f>VLOOKUP(H30,$Z$10:$AC$20,3)</f>
        <v>142.19999999999999</v>
      </c>
      <c r="N30" s="205">
        <f t="shared" si="4"/>
        <v>225.12627199999997</v>
      </c>
      <c r="O30" s="207">
        <f>VLOOKUP(H30,$Z$27:$AB$37,3)</f>
        <v>125.1</v>
      </c>
      <c r="P30" s="249">
        <f t="shared" si="5"/>
        <v>100.02627199999998</v>
      </c>
      <c r="Q30" s="249">
        <f t="shared" si="6"/>
        <v>0</v>
      </c>
      <c r="R30" s="31">
        <v>0</v>
      </c>
      <c r="S30" s="31">
        <f>+H30-P30+Q30-R30</f>
        <v>3084.9737279999999</v>
      </c>
      <c r="T30" s="31"/>
      <c r="U30" s="24">
        <f t="shared" si="8"/>
        <v>6370</v>
      </c>
      <c r="W30" s="114">
        <v>5356</v>
      </c>
      <c r="X30" s="116">
        <f t="shared" si="7"/>
        <v>2678</v>
      </c>
      <c r="Z30" s="197">
        <v>1713.61</v>
      </c>
      <c r="AA30" s="197">
        <v>1745.7</v>
      </c>
      <c r="AB30" s="196">
        <v>193.8</v>
      </c>
    </row>
    <row r="31" spans="1:29" ht="24.95" customHeight="1">
      <c r="A31" s="7"/>
      <c r="B31" s="12" t="s">
        <v>24</v>
      </c>
      <c r="C31" s="12"/>
      <c r="D31" s="12"/>
      <c r="E31" s="6"/>
      <c r="F31" s="7"/>
      <c r="G31" s="31"/>
      <c r="H31" s="31"/>
      <c r="I31" s="204"/>
      <c r="J31" s="205"/>
      <c r="K31" s="206"/>
      <c r="L31" s="205"/>
      <c r="M31" s="207"/>
      <c r="N31" s="205"/>
      <c r="O31" s="207"/>
      <c r="P31" s="249"/>
      <c r="Q31" s="249"/>
      <c r="R31" s="31"/>
      <c r="S31" s="31"/>
      <c r="T31" s="31"/>
      <c r="U31" s="24">
        <f t="shared" si="8"/>
        <v>0</v>
      </c>
      <c r="W31" s="114"/>
      <c r="X31" s="116">
        <f t="shared" si="7"/>
        <v>0</v>
      </c>
      <c r="Z31" s="197">
        <v>1745.71</v>
      </c>
      <c r="AA31" s="197">
        <v>2193.75</v>
      </c>
      <c r="AB31" s="196">
        <v>188.7</v>
      </c>
    </row>
    <row r="32" spans="1:29" ht="24.95" customHeight="1">
      <c r="A32" s="7">
        <v>14</v>
      </c>
      <c r="B32" s="6" t="s">
        <v>137</v>
      </c>
      <c r="C32" s="6"/>
      <c r="D32" s="6"/>
      <c r="E32" s="6" t="s">
        <v>25</v>
      </c>
      <c r="F32" s="7">
        <v>15</v>
      </c>
      <c r="G32" s="31">
        <v>3475</v>
      </c>
      <c r="H32" s="31">
        <f t="shared" si="1"/>
        <v>3475</v>
      </c>
      <c r="I32" s="204">
        <f>VLOOKUP(H32,$Z$10:$AC$20,1)</f>
        <v>2422.81</v>
      </c>
      <c r="J32" s="205">
        <f t="shared" si="2"/>
        <v>1052.19</v>
      </c>
      <c r="K32" s="206">
        <f>VLOOKUP(H32,$Z$10:$AC$20,4)</f>
        <v>0.10879999999999999</v>
      </c>
      <c r="L32" s="205">
        <f t="shared" si="3"/>
        <v>114.478272</v>
      </c>
      <c r="M32" s="207">
        <f>VLOOKUP(H32,$Z$10:$AC$20,3)</f>
        <v>142.19999999999999</v>
      </c>
      <c r="N32" s="205">
        <f t="shared" si="4"/>
        <v>256.67827199999999</v>
      </c>
      <c r="O32" s="207">
        <f>VLOOKUP(H32,$Z$27:$AB$37,3)</f>
        <v>125.1</v>
      </c>
      <c r="P32" s="249">
        <f t="shared" si="5"/>
        <v>131.578272</v>
      </c>
      <c r="Q32" s="249">
        <f t="shared" si="6"/>
        <v>0</v>
      </c>
      <c r="R32" s="31">
        <v>0</v>
      </c>
      <c r="S32" s="31">
        <f>+H32-P32+Q32-R32</f>
        <v>3343.4217279999998</v>
      </c>
      <c r="T32" s="31"/>
      <c r="U32" s="24">
        <f t="shared" si="8"/>
        <v>6950</v>
      </c>
      <c r="W32" s="114">
        <v>6950</v>
      </c>
      <c r="X32" s="116">
        <f t="shared" si="7"/>
        <v>3475</v>
      </c>
      <c r="Z32" s="197">
        <v>2193.7600000000002</v>
      </c>
      <c r="AA32" s="197">
        <v>2327.5500000000002</v>
      </c>
      <c r="AB32" s="196">
        <v>174.75</v>
      </c>
    </row>
    <row r="33" spans="1:28" ht="24.95" customHeight="1">
      <c r="A33" s="7">
        <v>15</v>
      </c>
      <c r="B33" s="6" t="s">
        <v>22</v>
      </c>
      <c r="C33" s="6"/>
      <c r="D33" s="6"/>
      <c r="E33" s="6" t="s">
        <v>91</v>
      </c>
      <c r="F33" s="7">
        <v>15</v>
      </c>
      <c r="G33" s="31">
        <v>3896.93</v>
      </c>
      <c r="H33" s="31">
        <f t="shared" si="1"/>
        <v>3896.9299999999994</v>
      </c>
      <c r="I33" s="204">
        <f>VLOOKUP(H33,$Z$10:$AC$20,1)</f>
        <v>2422.81</v>
      </c>
      <c r="J33" s="205">
        <f>+H33-I33</f>
        <v>1474.1199999999994</v>
      </c>
      <c r="K33" s="206">
        <f>VLOOKUP(H33,$Z$10:$AC$20,4)</f>
        <v>0.10879999999999999</v>
      </c>
      <c r="L33" s="205">
        <f>J33*K33</f>
        <v>160.38425599999994</v>
      </c>
      <c r="M33" s="207">
        <f>VLOOKUP(H33,$Z$10:$AC$20,3)</f>
        <v>142.19999999999999</v>
      </c>
      <c r="N33" s="205">
        <f>+L33+M33</f>
        <v>302.58425599999993</v>
      </c>
      <c r="O33" s="207">
        <f>VLOOKUP(H33,$Z$27:$AB$37,3)</f>
        <v>0</v>
      </c>
      <c r="P33" s="249">
        <f>IF(N33-O33&gt;0,N33-O33,0)</f>
        <v>302.58425599999993</v>
      </c>
      <c r="Q33" s="249">
        <f>IF(O33-N33&gt;0,O33-N33,0)</f>
        <v>0</v>
      </c>
      <c r="R33" s="31">
        <v>0</v>
      </c>
      <c r="S33" s="31">
        <f>+H33-P33+Q33-R33</f>
        <v>3594.3457439999993</v>
      </c>
      <c r="T33" s="31"/>
      <c r="U33" s="24">
        <f t="shared" si="8"/>
        <v>7793.86</v>
      </c>
      <c r="W33" s="114">
        <v>7566</v>
      </c>
      <c r="X33" s="116">
        <f t="shared" si="7"/>
        <v>3783</v>
      </c>
      <c r="Z33" s="197">
        <v>2327.56</v>
      </c>
      <c r="AA33" s="197">
        <v>2632.65</v>
      </c>
      <c r="AB33" s="196">
        <v>160.35</v>
      </c>
    </row>
    <row r="34" spans="1:28" ht="24.95" customHeight="1">
      <c r="A34" s="7"/>
      <c r="B34" s="12" t="s">
        <v>98</v>
      </c>
      <c r="C34" s="12"/>
      <c r="D34" s="12"/>
      <c r="E34" s="6"/>
      <c r="F34" s="7"/>
      <c r="G34" s="31"/>
      <c r="H34" s="31"/>
      <c r="I34" s="204"/>
      <c r="J34" s="205"/>
      <c r="K34" s="206"/>
      <c r="L34" s="205"/>
      <c r="M34" s="207"/>
      <c r="N34" s="205"/>
      <c r="O34" s="207"/>
      <c r="P34" s="249"/>
      <c r="Q34" s="249"/>
      <c r="R34" s="31"/>
      <c r="S34" s="31"/>
      <c r="T34" s="31"/>
      <c r="U34" s="24">
        <f t="shared" si="8"/>
        <v>0</v>
      </c>
      <c r="W34" s="114"/>
      <c r="X34" s="116">
        <f t="shared" si="7"/>
        <v>0</v>
      </c>
      <c r="Z34" s="197">
        <v>2632.66</v>
      </c>
      <c r="AA34" s="197">
        <v>3071.4</v>
      </c>
      <c r="AB34" s="196">
        <v>145.35</v>
      </c>
    </row>
    <row r="35" spans="1:28" ht="24.95" customHeight="1">
      <c r="A35" s="59">
        <v>16</v>
      </c>
      <c r="B35" s="58" t="s">
        <v>92</v>
      </c>
      <c r="C35" s="58"/>
      <c r="D35" s="58"/>
      <c r="E35" s="58" t="s">
        <v>93</v>
      </c>
      <c r="F35" s="59">
        <v>15</v>
      </c>
      <c r="G35" s="252">
        <v>3475</v>
      </c>
      <c r="H35" s="252">
        <f t="shared" si="1"/>
        <v>3475</v>
      </c>
      <c r="I35" s="204">
        <f>VLOOKUP(H35,$Z$10:$AC$20,1)</f>
        <v>2422.81</v>
      </c>
      <c r="J35" s="205">
        <f t="shared" si="2"/>
        <v>1052.19</v>
      </c>
      <c r="K35" s="206">
        <f>VLOOKUP(H35,$Z$10:$AC$20,4)</f>
        <v>0.10879999999999999</v>
      </c>
      <c r="L35" s="205">
        <f t="shared" si="3"/>
        <v>114.478272</v>
      </c>
      <c r="M35" s="207">
        <f>VLOOKUP(H35,$Z$10:$AC$20,3)</f>
        <v>142.19999999999999</v>
      </c>
      <c r="N35" s="205">
        <f t="shared" si="4"/>
        <v>256.67827199999999</v>
      </c>
      <c r="O35" s="207">
        <f>VLOOKUP(H35,$Z$27:$AB$37,3)</f>
        <v>125.1</v>
      </c>
      <c r="P35" s="250">
        <f t="shared" si="5"/>
        <v>131.578272</v>
      </c>
      <c r="Q35" s="250">
        <f t="shared" si="6"/>
        <v>0</v>
      </c>
      <c r="R35" s="252">
        <v>0</v>
      </c>
      <c r="S35" s="252">
        <f>+H35-P35+Q35-R35</f>
        <v>3343.4217279999998</v>
      </c>
      <c r="T35" s="252"/>
      <c r="U35" s="24">
        <f t="shared" si="8"/>
        <v>6950</v>
      </c>
      <c r="W35" s="114">
        <v>6748</v>
      </c>
      <c r="X35" s="116">
        <f t="shared" si="7"/>
        <v>3374</v>
      </c>
      <c r="Z35" s="197">
        <v>3071.41</v>
      </c>
      <c r="AA35" s="197">
        <v>3510.15</v>
      </c>
      <c r="AB35" s="196">
        <v>125.1</v>
      </c>
    </row>
    <row r="36" spans="1:28" ht="24.95" customHeight="1">
      <c r="A36" s="253"/>
      <c r="B36" s="254"/>
      <c r="C36" s="254"/>
      <c r="D36" s="254"/>
      <c r="E36" s="254"/>
      <c r="F36" s="253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W36" s="114"/>
      <c r="X36" s="116"/>
      <c r="Z36" s="197">
        <v>3510.16</v>
      </c>
      <c r="AA36" s="197">
        <v>3642.6</v>
      </c>
      <c r="AB36" s="196">
        <v>107.4</v>
      </c>
    </row>
    <row r="37" spans="1:28" ht="21.95" customHeight="1" thickBot="1">
      <c r="A37" s="324" t="s">
        <v>12</v>
      </c>
      <c r="B37" s="326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W37" s="114"/>
      <c r="X37" s="116"/>
      <c r="Z37" s="198">
        <v>3642.61</v>
      </c>
      <c r="AA37" s="199" t="s">
        <v>287</v>
      </c>
      <c r="AB37" s="199">
        <v>0</v>
      </c>
    </row>
    <row r="38" spans="1:28" ht="21.95" customHeight="1" thickTop="1">
      <c r="A38" s="324" t="s">
        <v>238</v>
      </c>
      <c r="B38" s="324"/>
      <c r="C38" s="324"/>
      <c r="D38" s="324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W38" s="114"/>
      <c r="X38" s="116"/>
    </row>
    <row r="39" spans="1:28" ht="21.95" customHeight="1">
      <c r="A39" s="331" t="str">
        <f>A5</f>
        <v>SUELDOS 2DA QUINCENA DEL MES DE AGOSTO DE 2018</v>
      </c>
      <c r="B39" s="329"/>
      <c r="C39" s="329"/>
      <c r="D39" s="329"/>
      <c r="E39" s="329"/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29"/>
      <c r="W39" s="114"/>
      <c r="X39" s="116"/>
    </row>
    <row r="40" spans="1:28" ht="21.95" customHeight="1">
      <c r="A40" s="331" t="s">
        <v>224</v>
      </c>
      <c r="B40" s="331"/>
      <c r="C40" s="331"/>
      <c r="D40" s="331"/>
      <c r="E40" s="331"/>
      <c r="F40" s="331"/>
      <c r="G40" s="331"/>
      <c r="H40" s="331"/>
      <c r="I40" s="331"/>
      <c r="J40" s="331"/>
      <c r="K40" s="331"/>
      <c r="L40" s="331"/>
      <c r="M40" s="331"/>
      <c r="N40" s="331"/>
      <c r="O40" s="331"/>
      <c r="P40" s="331"/>
      <c r="Q40" s="331"/>
      <c r="R40" s="331"/>
      <c r="S40" s="331"/>
      <c r="T40" s="331"/>
      <c r="W40" s="114"/>
      <c r="X40" s="116"/>
    </row>
    <row r="41" spans="1:28" ht="18.75" customHeight="1">
      <c r="A41" s="25"/>
      <c r="B41" s="82"/>
      <c r="C41" s="82"/>
      <c r="D41" s="82"/>
      <c r="E41" s="82"/>
      <c r="F41" s="84" t="s">
        <v>4</v>
      </c>
      <c r="G41" s="169"/>
      <c r="H41" s="219"/>
      <c r="I41" s="315" t="s">
        <v>290</v>
      </c>
      <c r="J41" s="316"/>
      <c r="K41" s="316"/>
      <c r="L41" s="316"/>
      <c r="M41" s="316"/>
      <c r="N41" s="316"/>
      <c r="O41" s="316"/>
      <c r="P41" s="316"/>
      <c r="Q41" s="316"/>
      <c r="R41" s="316"/>
      <c r="S41" s="316"/>
      <c r="T41" s="84"/>
      <c r="W41" s="114"/>
      <c r="X41" s="116"/>
    </row>
    <row r="42" spans="1:28" ht="12" customHeight="1">
      <c r="A42" s="27" t="s">
        <v>3</v>
      </c>
      <c r="B42" s="83"/>
      <c r="C42" s="83"/>
      <c r="D42" s="83"/>
      <c r="E42" s="83"/>
      <c r="F42" s="86" t="s">
        <v>5</v>
      </c>
      <c r="G42" s="84" t="s">
        <v>1</v>
      </c>
      <c r="H42" s="84" t="s">
        <v>227</v>
      </c>
      <c r="I42" s="315" t="s">
        <v>270</v>
      </c>
      <c r="J42" s="316"/>
      <c r="K42" s="316"/>
      <c r="L42" s="316"/>
      <c r="M42" s="316"/>
      <c r="N42" s="316"/>
      <c r="O42" s="316"/>
      <c r="P42" s="316"/>
      <c r="Q42" s="317"/>
      <c r="R42" s="85" t="s">
        <v>245</v>
      </c>
      <c r="S42" s="85" t="s">
        <v>230</v>
      </c>
      <c r="T42" s="83" t="s">
        <v>232</v>
      </c>
      <c r="W42" s="114"/>
      <c r="X42" s="116"/>
    </row>
    <row r="43" spans="1:28" ht="18.75" customHeight="1">
      <c r="A43" s="27"/>
      <c r="B43" s="88"/>
      <c r="C43" s="88"/>
      <c r="D43" s="88"/>
      <c r="E43" s="88" t="s">
        <v>10</v>
      </c>
      <c r="F43" s="83"/>
      <c r="G43" s="83" t="s">
        <v>7</v>
      </c>
      <c r="H43" s="83" t="s">
        <v>230</v>
      </c>
      <c r="I43" s="85" t="s">
        <v>272</v>
      </c>
      <c r="J43" s="85" t="s">
        <v>273</v>
      </c>
      <c r="K43" s="85" t="s">
        <v>282</v>
      </c>
      <c r="L43" s="85" t="s">
        <v>274</v>
      </c>
      <c r="M43" s="85" t="s">
        <v>275</v>
      </c>
      <c r="N43" s="85" t="s">
        <v>271</v>
      </c>
      <c r="O43" s="85" t="s">
        <v>283</v>
      </c>
      <c r="P43" s="192" t="s">
        <v>271</v>
      </c>
      <c r="Q43" s="85" t="s">
        <v>286</v>
      </c>
      <c r="R43" s="84" t="s">
        <v>246</v>
      </c>
      <c r="S43" s="84" t="s">
        <v>233</v>
      </c>
      <c r="T43" s="83"/>
      <c r="W43" s="114"/>
      <c r="X43" s="116"/>
    </row>
    <row r="44" spans="1:28" ht="14.25" customHeight="1">
      <c r="A44" s="26"/>
      <c r="B44" s="89" t="s">
        <v>14</v>
      </c>
      <c r="C44" s="89"/>
      <c r="D44" s="89"/>
      <c r="E44" s="89" t="s">
        <v>9</v>
      </c>
      <c r="F44" s="85"/>
      <c r="G44" s="85"/>
      <c r="H44" s="85"/>
      <c r="I44" s="84" t="s">
        <v>277</v>
      </c>
      <c r="J44" s="84" t="s">
        <v>278</v>
      </c>
      <c r="K44" s="84" t="s">
        <v>278</v>
      </c>
      <c r="L44" s="84" t="s">
        <v>279</v>
      </c>
      <c r="M44" s="84" t="s">
        <v>280</v>
      </c>
      <c r="N44" s="84" t="s">
        <v>281</v>
      </c>
      <c r="O44" s="84" t="s">
        <v>284</v>
      </c>
      <c r="P44" s="85" t="s">
        <v>276</v>
      </c>
      <c r="Q44" s="84" t="s">
        <v>285</v>
      </c>
      <c r="R44" s="85"/>
      <c r="S44" s="85"/>
      <c r="T44" s="85"/>
      <c r="W44" s="114"/>
      <c r="X44" s="116"/>
    </row>
    <row r="45" spans="1:28" ht="24.95" customHeight="1">
      <c r="A45" s="61">
        <v>17</v>
      </c>
      <c r="B45" s="188" t="s">
        <v>96</v>
      </c>
      <c r="C45" s="188"/>
      <c r="D45" s="188"/>
      <c r="E45" s="188" t="s">
        <v>26</v>
      </c>
      <c r="F45" s="274">
        <v>15</v>
      </c>
      <c r="G45" s="131">
        <v>4680</v>
      </c>
      <c r="H45" s="31">
        <f t="shared" ref="H45:H67" si="9">(G45/15)*F45</f>
        <v>4680</v>
      </c>
      <c r="I45" s="204">
        <f>VLOOKUP(H45,$Z$10:$AC$20,1)</f>
        <v>4257.91</v>
      </c>
      <c r="J45" s="205">
        <f>+H45-I45</f>
        <v>422.09000000000015</v>
      </c>
      <c r="K45" s="206">
        <f>VLOOKUP(H45,$Z$10:$AC$20,4)</f>
        <v>0.16</v>
      </c>
      <c r="L45" s="205">
        <f>J45*K45</f>
        <v>67.534400000000019</v>
      </c>
      <c r="M45" s="207">
        <f>VLOOKUP(H45,$Z$10:$AC$20,3)</f>
        <v>341.85</v>
      </c>
      <c r="N45" s="205">
        <f>+L45+M45</f>
        <v>409.38440000000003</v>
      </c>
      <c r="O45" s="207">
        <f>VLOOKUP(H45,$Z$27:$AB$37,3)</f>
        <v>0</v>
      </c>
      <c r="P45" s="248">
        <f>IF(N45-O45&gt;0,N45-O45,0)</f>
        <v>409.38440000000003</v>
      </c>
      <c r="Q45" s="248">
        <f>IF(O45-N45&gt;0,O45-N45,0)</f>
        <v>0</v>
      </c>
      <c r="R45" s="131">
        <v>0</v>
      </c>
      <c r="S45" s="131">
        <f>+H45-P45+Q45-R45</f>
        <v>4270.6156000000001</v>
      </c>
      <c r="T45" s="131"/>
      <c r="U45" s="24">
        <f t="shared" ref="U45:U66" si="10">G45*2</f>
        <v>9360</v>
      </c>
      <c r="W45" s="114">
        <v>9360</v>
      </c>
      <c r="X45" s="116">
        <f t="shared" si="7"/>
        <v>4680</v>
      </c>
      <c r="Y45" s="294" t="s">
        <v>309</v>
      </c>
    </row>
    <row r="46" spans="1:28" ht="24.95" customHeight="1">
      <c r="A46" s="7">
        <v>18</v>
      </c>
      <c r="B46" s="23" t="s">
        <v>186</v>
      </c>
      <c r="C46" s="23"/>
      <c r="D46" s="23"/>
      <c r="E46" s="275" t="s">
        <v>187</v>
      </c>
      <c r="F46" s="163">
        <v>15</v>
      </c>
      <c r="G46" s="8">
        <v>3280.55</v>
      </c>
      <c r="H46" s="31">
        <f t="shared" si="9"/>
        <v>3280.55</v>
      </c>
      <c r="I46" s="204">
        <f>VLOOKUP(H46,$Z$10:$AC$20,1)</f>
        <v>2422.81</v>
      </c>
      <c r="J46" s="205">
        <f>+H46-I46</f>
        <v>857.74000000000024</v>
      </c>
      <c r="K46" s="206">
        <f>VLOOKUP(H46,$Z$10:$AC$20,4)</f>
        <v>0.10879999999999999</v>
      </c>
      <c r="L46" s="205">
        <f>J46*K46</f>
        <v>93.322112000000018</v>
      </c>
      <c r="M46" s="207">
        <f>VLOOKUP(H46,$Z$10:$AC$20,3)</f>
        <v>142.19999999999999</v>
      </c>
      <c r="N46" s="205">
        <f>+L46+M46</f>
        <v>235.52211199999999</v>
      </c>
      <c r="O46" s="207">
        <f>VLOOKUP(H46,$Z$27:$AB$37,3)</f>
        <v>125.1</v>
      </c>
      <c r="P46" s="249">
        <f>IF(N46-O46&gt;0,N46-O46,0)</f>
        <v>110.422112</v>
      </c>
      <c r="Q46" s="249">
        <f>IF(O46-N46&gt;0,O46-N46,0)</f>
        <v>0</v>
      </c>
      <c r="R46" s="31">
        <v>0</v>
      </c>
      <c r="S46" s="131">
        <f>+H46-P46+Q46-R46</f>
        <v>3170.127888</v>
      </c>
      <c r="T46" s="31"/>
      <c r="U46" s="24">
        <f t="shared" si="10"/>
        <v>6561.1</v>
      </c>
      <c r="W46" s="114">
        <v>5218</v>
      </c>
      <c r="X46" s="116">
        <f t="shared" si="7"/>
        <v>2609</v>
      </c>
    </row>
    <row r="47" spans="1:28" ht="24.95" customHeight="1">
      <c r="A47" s="7"/>
      <c r="B47" s="276" t="s">
        <v>27</v>
      </c>
      <c r="C47" s="276"/>
      <c r="D47" s="276"/>
      <c r="E47" s="23"/>
      <c r="F47" s="163"/>
      <c r="G47" s="31"/>
      <c r="H47" s="31"/>
      <c r="I47" s="31"/>
      <c r="J47" s="31"/>
      <c r="K47" s="31"/>
      <c r="L47" s="31"/>
      <c r="M47" s="31"/>
      <c r="N47" s="31"/>
      <c r="O47" s="31"/>
      <c r="P47" s="131"/>
      <c r="Q47" s="131"/>
      <c r="R47" s="31"/>
      <c r="S47" s="131"/>
      <c r="T47" s="31"/>
      <c r="U47" s="24">
        <f t="shared" si="10"/>
        <v>0</v>
      </c>
      <c r="W47" s="114"/>
      <c r="X47" s="116">
        <f t="shared" si="7"/>
        <v>0</v>
      </c>
    </row>
    <row r="48" spans="1:28" ht="24.95" customHeight="1">
      <c r="A48" s="7">
        <v>19</v>
      </c>
      <c r="B48" s="23" t="s">
        <v>293</v>
      </c>
      <c r="C48" s="23"/>
      <c r="D48" s="23"/>
      <c r="E48" s="23" t="s">
        <v>28</v>
      </c>
      <c r="F48" s="163">
        <v>15</v>
      </c>
      <c r="G48" s="31">
        <v>12853</v>
      </c>
      <c r="H48" s="31">
        <f t="shared" si="9"/>
        <v>12853</v>
      </c>
      <c r="I48" s="204">
        <f>VLOOKUP(H48,$Z$10:$AC$20,1)</f>
        <v>11951.86</v>
      </c>
      <c r="J48" s="205">
        <f>+H48-I48</f>
        <v>901.13999999999942</v>
      </c>
      <c r="K48" s="206">
        <f>VLOOKUP(H48,$Z$10:$AC$20,4)</f>
        <v>0.23519999999999999</v>
      </c>
      <c r="L48" s="205">
        <f>J48*K48</f>
        <v>211.94812799999985</v>
      </c>
      <c r="M48" s="207">
        <f>VLOOKUP(H48,$Z$10:$AC$20,3)</f>
        <v>1914.75</v>
      </c>
      <c r="N48" s="205">
        <f>+L48+M48</f>
        <v>2126.698128</v>
      </c>
      <c r="O48" s="207">
        <f>VLOOKUP(H48,$Z$27:$AB$37,3)</f>
        <v>0</v>
      </c>
      <c r="P48" s="249">
        <f>IF(N48-O48&gt;0,N48-O48,0)</f>
        <v>2126.698128</v>
      </c>
      <c r="Q48" s="249">
        <f>IF(O48-N48&gt;0,O48-N48,0)</f>
        <v>0</v>
      </c>
      <c r="R48" s="31">
        <v>0</v>
      </c>
      <c r="S48" s="131">
        <f>+H48-P48+Q48-R48</f>
        <v>10726.301872</v>
      </c>
      <c r="T48" s="31"/>
      <c r="U48" s="24">
        <f t="shared" si="10"/>
        <v>25706</v>
      </c>
      <c r="W48" s="114">
        <v>25706</v>
      </c>
      <c r="X48" s="116">
        <f t="shared" si="7"/>
        <v>12853</v>
      </c>
    </row>
    <row r="49" spans="1:25" ht="24.95" customHeight="1">
      <c r="A49" s="7">
        <v>20</v>
      </c>
      <c r="B49" s="23" t="s">
        <v>29</v>
      </c>
      <c r="C49" s="23"/>
      <c r="D49" s="23"/>
      <c r="E49" s="23" t="s">
        <v>16</v>
      </c>
      <c r="F49" s="163">
        <v>15</v>
      </c>
      <c r="G49" s="31">
        <v>3564.83</v>
      </c>
      <c r="H49" s="31">
        <f t="shared" si="9"/>
        <v>3564.83</v>
      </c>
      <c r="I49" s="204">
        <f>VLOOKUP(H49,$Z$10:$AC$20,1)</f>
        <v>2422.81</v>
      </c>
      <c r="J49" s="205">
        <f>+H49-I49</f>
        <v>1142.02</v>
      </c>
      <c r="K49" s="206">
        <f>VLOOKUP(H49,$Z$10:$AC$20,4)</f>
        <v>0.10879999999999999</v>
      </c>
      <c r="L49" s="205">
        <f>J49*K49</f>
        <v>124.25177599999999</v>
      </c>
      <c r="M49" s="207">
        <f>VLOOKUP(H49,$Z$10:$AC$20,3)</f>
        <v>142.19999999999999</v>
      </c>
      <c r="N49" s="205">
        <f>+L49+M49</f>
        <v>266.451776</v>
      </c>
      <c r="O49" s="207">
        <f>VLOOKUP(H49,$Z$27:$AB$37,3)</f>
        <v>107.4</v>
      </c>
      <c r="P49" s="249">
        <f>IF(N49-O49&gt;0,N49-O49,0)</f>
        <v>159.05177599999999</v>
      </c>
      <c r="Q49" s="249">
        <f>IF(O49-N49&gt;0,O49-N49,0)</f>
        <v>0</v>
      </c>
      <c r="R49" s="31">
        <v>0</v>
      </c>
      <c r="S49" s="131">
        <f>+H49-P49+Q49-R49</f>
        <v>3405.7782240000001</v>
      </c>
      <c r="T49" s="31"/>
      <c r="U49" s="24">
        <f t="shared" si="10"/>
        <v>7129.66</v>
      </c>
      <c r="W49" s="114">
        <v>6922</v>
      </c>
      <c r="X49" s="116">
        <f t="shared" si="7"/>
        <v>3461</v>
      </c>
    </row>
    <row r="50" spans="1:25" ht="24.95" customHeight="1">
      <c r="A50" s="7">
        <v>21</v>
      </c>
      <c r="B50" s="23" t="s">
        <v>139</v>
      </c>
      <c r="C50" s="23"/>
      <c r="D50" s="23"/>
      <c r="E50" s="23" t="s">
        <v>16</v>
      </c>
      <c r="F50" s="163">
        <v>15</v>
      </c>
      <c r="G50" s="8">
        <v>3564.83</v>
      </c>
      <c r="H50" s="31">
        <f t="shared" si="9"/>
        <v>3564.83</v>
      </c>
      <c r="I50" s="204">
        <f>VLOOKUP(H50,$Z$10:$AC$20,1)</f>
        <v>2422.81</v>
      </c>
      <c r="J50" s="205">
        <f>+H50-I50</f>
        <v>1142.02</v>
      </c>
      <c r="K50" s="206">
        <f>VLOOKUP(H50,$Z$10:$AC$20,4)</f>
        <v>0.10879999999999999</v>
      </c>
      <c r="L50" s="205">
        <f>J50*K50</f>
        <v>124.25177599999999</v>
      </c>
      <c r="M50" s="207">
        <f>VLOOKUP(H50,$Z$10:$AC$20,3)</f>
        <v>142.19999999999999</v>
      </c>
      <c r="N50" s="205">
        <f>+L50+M50</f>
        <v>266.451776</v>
      </c>
      <c r="O50" s="207">
        <f>VLOOKUP(H50,$Z$27:$AB$37,3)</f>
        <v>107.4</v>
      </c>
      <c r="P50" s="249">
        <f>IF(N50-O50&gt;0,N50-O50,0)</f>
        <v>159.05177599999999</v>
      </c>
      <c r="Q50" s="249">
        <f>IF(O50-N50&gt;0,O50-N50,0)</f>
        <v>0</v>
      </c>
      <c r="R50" s="31">
        <v>0</v>
      </c>
      <c r="S50" s="131">
        <f>+H50-P50+Q50-R50</f>
        <v>3405.7782240000001</v>
      </c>
      <c r="T50" s="31"/>
      <c r="U50" s="24">
        <f t="shared" si="10"/>
        <v>7129.66</v>
      </c>
      <c r="W50" s="114">
        <v>6922</v>
      </c>
      <c r="X50" s="116">
        <f t="shared" si="7"/>
        <v>3461</v>
      </c>
    </row>
    <row r="51" spans="1:25" ht="25.5" customHeight="1">
      <c r="A51" s="7"/>
      <c r="B51" s="276" t="s">
        <v>110</v>
      </c>
      <c r="C51" s="276"/>
      <c r="D51" s="276"/>
      <c r="E51" s="23"/>
      <c r="F51" s="163"/>
      <c r="G51" s="31"/>
      <c r="H51" s="31"/>
      <c r="I51" s="31"/>
      <c r="J51" s="31"/>
      <c r="K51" s="31"/>
      <c r="L51" s="31"/>
      <c r="M51" s="31"/>
      <c r="N51" s="31"/>
      <c r="O51" s="31"/>
      <c r="P51" s="131"/>
      <c r="Q51" s="131"/>
      <c r="R51" s="31"/>
      <c r="S51" s="131"/>
      <c r="T51" s="31"/>
      <c r="U51" s="24">
        <f t="shared" si="10"/>
        <v>0</v>
      </c>
      <c r="W51" s="114"/>
      <c r="X51" s="116">
        <f t="shared" si="7"/>
        <v>0</v>
      </c>
    </row>
    <row r="52" spans="1:25" ht="24.95" customHeight="1">
      <c r="A52" s="7">
        <v>22</v>
      </c>
      <c r="B52" s="23" t="s">
        <v>61</v>
      </c>
      <c r="C52" s="23"/>
      <c r="D52" s="23"/>
      <c r="E52" s="23" t="s">
        <v>218</v>
      </c>
      <c r="F52" s="163">
        <v>15</v>
      </c>
      <c r="G52" s="31">
        <v>3475.22</v>
      </c>
      <c r="H52" s="31">
        <f t="shared" si="9"/>
        <v>3475.22</v>
      </c>
      <c r="I52" s="204">
        <f>VLOOKUP(H52,$Z$10:$AC$20,1)</f>
        <v>2422.81</v>
      </c>
      <c r="J52" s="205">
        <f>+H52-I52</f>
        <v>1052.4099999999999</v>
      </c>
      <c r="K52" s="206">
        <f>VLOOKUP(H52,$Z$10:$AC$20,4)</f>
        <v>0.10879999999999999</v>
      </c>
      <c r="L52" s="205">
        <f>J52*K52</f>
        <v>114.50220799999998</v>
      </c>
      <c r="M52" s="207">
        <f>VLOOKUP(H52,$Z$10:$AC$20,3)</f>
        <v>142.19999999999999</v>
      </c>
      <c r="N52" s="205">
        <f>+L52+M52</f>
        <v>256.70220799999998</v>
      </c>
      <c r="O52" s="207">
        <f>VLOOKUP(H52,$Z$27:$AB$37,3)</f>
        <v>125.1</v>
      </c>
      <c r="P52" s="249">
        <f>IF(N52-O52&gt;0,N52-O52,0)</f>
        <v>131.60220799999999</v>
      </c>
      <c r="Q52" s="249">
        <f>IF(O52-N52&gt;0,O52-N52,0)</f>
        <v>0</v>
      </c>
      <c r="R52" s="31">
        <v>0</v>
      </c>
      <c r="S52" s="131">
        <f>+H52-P52+Q52-R52</f>
        <v>3343.617792</v>
      </c>
      <c r="T52" s="31"/>
      <c r="U52" s="24">
        <f t="shared" si="10"/>
        <v>6950.44</v>
      </c>
      <c r="W52" s="114">
        <v>6748</v>
      </c>
      <c r="X52" s="116">
        <f t="shared" si="7"/>
        <v>3374</v>
      </c>
    </row>
    <row r="53" spans="1:25" ht="24.95" customHeight="1">
      <c r="A53" s="7"/>
      <c r="B53" s="276" t="s">
        <v>111</v>
      </c>
      <c r="C53" s="276"/>
      <c r="D53" s="276"/>
      <c r="E53" s="23"/>
      <c r="F53" s="163"/>
      <c r="G53" s="31"/>
      <c r="H53" s="31">
        <f t="shared" si="9"/>
        <v>0</v>
      </c>
      <c r="I53" s="31"/>
      <c r="J53" s="31"/>
      <c r="K53" s="31"/>
      <c r="L53" s="31"/>
      <c r="M53" s="31"/>
      <c r="N53" s="31"/>
      <c r="O53" s="31"/>
      <c r="P53" s="131"/>
      <c r="Q53" s="131"/>
      <c r="R53" s="31"/>
      <c r="S53" s="131"/>
      <c r="T53" s="31"/>
      <c r="U53" s="24">
        <f t="shared" si="10"/>
        <v>0</v>
      </c>
      <c r="W53" s="114"/>
      <c r="X53" s="116">
        <f t="shared" si="7"/>
        <v>0</v>
      </c>
    </row>
    <row r="54" spans="1:25" ht="24.95" customHeight="1">
      <c r="A54" s="7">
        <v>23</v>
      </c>
      <c r="B54" s="6" t="s">
        <v>30</v>
      </c>
      <c r="C54" s="6"/>
      <c r="D54" s="6"/>
      <c r="E54" s="6" t="s">
        <v>16</v>
      </c>
      <c r="F54" s="7">
        <v>15</v>
      </c>
      <c r="G54" s="31">
        <v>3564.83</v>
      </c>
      <c r="H54" s="31">
        <f t="shared" si="9"/>
        <v>3564.83</v>
      </c>
      <c r="I54" s="204">
        <f>VLOOKUP(H54,$Z$10:$AC$20,1)</f>
        <v>2422.81</v>
      </c>
      <c r="J54" s="205">
        <f>+H54-I54</f>
        <v>1142.02</v>
      </c>
      <c r="K54" s="206">
        <f>VLOOKUP(H54,$Z$10:$AC$20,4)</f>
        <v>0.10879999999999999</v>
      </c>
      <c r="L54" s="205">
        <f>J54*K54</f>
        <v>124.25177599999999</v>
      </c>
      <c r="M54" s="207">
        <f>VLOOKUP(H54,$Z$10:$AC$20,3)</f>
        <v>142.19999999999999</v>
      </c>
      <c r="N54" s="205">
        <f>+L54+M54</f>
        <v>266.451776</v>
      </c>
      <c r="O54" s="207">
        <f>VLOOKUP(H54,$Z$27:$AB$37,3)</f>
        <v>107.4</v>
      </c>
      <c r="P54" s="249">
        <f>IF(N54-O54&gt;0,N54-O54,0)</f>
        <v>159.05177599999999</v>
      </c>
      <c r="Q54" s="249">
        <f>IF(O54-N54&gt;0,O54-N54,0)</f>
        <v>0</v>
      </c>
      <c r="R54" s="31">
        <v>0</v>
      </c>
      <c r="S54" s="131">
        <f>+H54-P54+Q54-R54</f>
        <v>3405.7782240000001</v>
      </c>
      <c r="T54" s="31"/>
      <c r="U54" s="24">
        <f t="shared" si="10"/>
        <v>7129.66</v>
      </c>
      <c r="W54" s="114">
        <v>6922</v>
      </c>
      <c r="X54" s="116">
        <f t="shared" si="7"/>
        <v>3461</v>
      </c>
    </row>
    <row r="55" spans="1:25" ht="24.95" customHeight="1">
      <c r="A55" s="7"/>
      <c r="B55" s="12" t="s">
        <v>31</v>
      </c>
      <c r="C55" s="12"/>
      <c r="D55" s="12"/>
      <c r="E55" s="6"/>
      <c r="F55" s="7"/>
      <c r="G55" s="31"/>
      <c r="H55" s="31"/>
      <c r="I55" s="31"/>
      <c r="J55" s="31"/>
      <c r="K55" s="31"/>
      <c r="L55" s="31"/>
      <c r="M55" s="31"/>
      <c r="N55" s="31"/>
      <c r="O55" s="31"/>
      <c r="P55" s="131"/>
      <c r="Q55" s="131"/>
      <c r="R55" s="31"/>
      <c r="S55" s="131"/>
      <c r="T55" s="31"/>
      <c r="U55" s="24">
        <f t="shared" si="10"/>
        <v>0</v>
      </c>
      <c r="W55" s="114"/>
      <c r="X55" s="116">
        <f t="shared" si="7"/>
        <v>0</v>
      </c>
    </row>
    <row r="56" spans="1:25" ht="24.95" customHeight="1">
      <c r="A56" s="7">
        <v>24</v>
      </c>
      <c r="B56" s="6" t="s">
        <v>134</v>
      </c>
      <c r="C56" s="6"/>
      <c r="D56" s="6"/>
      <c r="E56" s="6" t="s">
        <v>32</v>
      </c>
      <c r="F56" s="7">
        <v>15</v>
      </c>
      <c r="G56" s="31">
        <v>6864</v>
      </c>
      <c r="H56" s="31">
        <f t="shared" si="9"/>
        <v>6864</v>
      </c>
      <c r="I56" s="204">
        <f>VLOOKUP(H56,$Z$10:$AC$20,1)</f>
        <v>5925.91</v>
      </c>
      <c r="J56" s="205">
        <f>+H56-I56</f>
        <v>938.09000000000015</v>
      </c>
      <c r="K56" s="206">
        <f>VLOOKUP(H56,$Z$10:$AC$20,4)</f>
        <v>0.21360000000000001</v>
      </c>
      <c r="L56" s="205">
        <f>J56*K56</f>
        <v>200.37602400000003</v>
      </c>
      <c r="M56" s="207">
        <f>VLOOKUP(H56,$Z$10:$AC$20,3)</f>
        <v>627.6</v>
      </c>
      <c r="N56" s="205">
        <f>+L56+M56</f>
        <v>827.97602400000005</v>
      </c>
      <c r="O56" s="207">
        <f>VLOOKUP(H56,$Z$27:$AB$37,3)</f>
        <v>0</v>
      </c>
      <c r="P56" s="249">
        <f>IF(N56-O56&gt;0,N56-O56,0)</f>
        <v>827.97602400000005</v>
      </c>
      <c r="Q56" s="249">
        <f>IF(O56-N56&gt;0,O56-N56,0)</f>
        <v>0</v>
      </c>
      <c r="R56" s="31">
        <v>0</v>
      </c>
      <c r="S56" s="131">
        <f>+H56-P56+Q56-R56</f>
        <v>6036.0239760000004</v>
      </c>
      <c r="T56" s="31"/>
      <c r="U56" s="24">
        <f t="shared" si="10"/>
        <v>13728</v>
      </c>
      <c r="W56" s="114">
        <v>13728</v>
      </c>
      <c r="X56" s="116">
        <f t="shared" si="7"/>
        <v>6864</v>
      </c>
    </row>
    <row r="57" spans="1:25" ht="24.95" customHeight="1">
      <c r="A57" s="7">
        <v>25</v>
      </c>
      <c r="B57" s="6" t="s">
        <v>94</v>
      </c>
      <c r="C57" s="6"/>
      <c r="D57" s="6"/>
      <c r="E57" s="6" t="s">
        <v>83</v>
      </c>
      <c r="F57" s="7">
        <v>15</v>
      </c>
      <c r="G57" s="31">
        <v>4176.6499999999996</v>
      </c>
      <c r="H57" s="31">
        <f t="shared" si="9"/>
        <v>4176.6499999999996</v>
      </c>
      <c r="I57" s="204">
        <f>VLOOKUP(H57,$Z$10:$AC$20,1)</f>
        <v>2422.81</v>
      </c>
      <c r="J57" s="205">
        <f>+H57-I57</f>
        <v>1753.8399999999997</v>
      </c>
      <c r="K57" s="206">
        <f>VLOOKUP(H57,$Z$10:$AC$20,4)</f>
        <v>0.10879999999999999</v>
      </c>
      <c r="L57" s="205">
        <f>J57*K57</f>
        <v>190.81779199999997</v>
      </c>
      <c r="M57" s="207">
        <f>VLOOKUP(H57,$Z$10:$AC$20,3)</f>
        <v>142.19999999999999</v>
      </c>
      <c r="N57" s="205">
        <f>+L57+M57</f>
        <v>333.01779199999999</v>
      </c>
      <c r="O57" s="207">
        <f>VLOOKUP(H57,$Z$27:$AB$37,3)</f>
        <v>0</v>
      </c>
      <c r="P57" s="249">
        <f>IF(N57-O57&gt;0,N57-O57,0)</f>
        <v>333.01779199999999</v>
      </c>
      <c r="Q57" s="249">
        <f>IF(O57-N57&gt;0,O57-N57,0)</f>
        <v>0</v>
      </c>
      <c r="R57" s="31">
        <v>0</v>
      </c>
      <c r="S57" s="131">
        <f>+H57-P57+Q57-R57</f>
        <v>3843.6322079999995</v>
      </c>
      <c r="T57" s="31"/>
      <c r="U57" s="24">
        <f t="shared" si="10"/>
        <v>8353.2999999999993</v>
      </c>
      <c r="W57" s="114">
        <v>8110</v>
      </c>
      <c r="X57" s="116">
        <f t="shared" si="7"/>
        <v>4055</v>
      </c>
      <c r="Y57" s="294" t="s">
        <v>309</v>
      </c>
    </row>
    <row r="58" spans="1:25" ht="24.95" customHeight="1">
      <c r="A58" s="7">
        <v>26</v>
      </c>
      <c r="B58" s="6" t="s">
        <v>243</v>
      </c>
      <c r="C58" s="6"/>
      <c r="D58" s="6"/>
      <c r="E58" s="6" t="s">
        <v>83</v>
      </c>
      <c r="F58" s="7">
        <v>15</v>
      </c>
      <c r="G58" s="31">
        <v>4055</v>
      </c>
      <c r="H58" s="31">
        <f t="shared" si="9"/>
        <v>4054.9999999999995</v>
      </c>
      <c r="I58" s="204">
        <f>VLOOKUP(H58,$Z$10:$AC$20,1)</f>
        <v>2422.81</v>
      </c>
      <c r="J58" s="205">
        <f>+H58-I58</f>
        <v>1632.1899999999996</v>
      </c>
      <c r="K58" s="206">
        <f>VLOOKUP(H58,$Z$10:$AC$20,4)</f>
        <v>0.10879999999999999</v>
      </c>
      <c r="L58" s="205">
        <f>J58*K58</f>
        <v>177.58227199999996</v>
      </c>
      <c r="M58" s="207">
        <f>VLOOKUP(H58,$Z$10:$AC$20,3)</f>
        <v>142.19999999999999</v>
      </c>
      <c r="N58" s="205">
        <f>+L58+M58</f>
        <v>319.78227199999992</v>
      </c>
      <c r="O58" s="207">
        <f>VLOOKUP(H58,$Z$27:$AB$37,3)</f>
        <v>0</v>
      </c>
      <c r="P58" s="249">
        <f>IF(N58-O58&gt;0,N58-O58,0)</f>
        <v>319.78227199999992</v>
      </c>
      <c r="Q58" s="249">
        <f>IF(O58-N58&gt;0,O58-N58,0)</f>
        <v>0</v>
      </c>
      <c r="R58" s="31">
        <v>0</v>
      </c>
      <c r="S58" s="131">
        <f>+H58-P58+Q58-R58</f>
        <v>3735.2177279999996</v>
      </c>
      <c r="T58" s="31"/>
      <c r="U58" s="24">
        <f t="shared" si="10"/>
        <v>8110</v>
      </c>
      <c r="W58" s="114">
        <v>6394</v>
      </c>
      <c r="X58" s="116">
        <f t="shared" si="7"/>
        <v>3197</v>
      </c>
    </row>
    <row r="59" spans="1:25" ht="24.95" customHeight="1">
      <c r="A59" s="7"/>
      <c r="B59" s="12" t="s">
        <v>33</v>
      </c>
      <c r="C59" s="12"/>
      <c r="D59" s="12"/>
      <c r="E59" s="6"/>
      <c r="F59" s="7"/>
      <c r="G59" s="31"/>
      <c r="H59" s="31"/>
      <c r="I59" s="31"/>
      <c r="J59" s="31"/>
      <c r="K59" s="31"/>
      <c r="L59" s="31"/>
      <c r="M59" s="31"/>
      <c r="N59" s="31"/>
      <c r="O59" s="31"/>
      <c r="P59" s="131"/>
      <c r="Q59" s="131"/>
      <c r="R59" s="31"/>
      <c r="S59" s="131"/>
      <c r="T59" s="31"/>
      <c r="U59" s="24">
        <f t="shared" si="10"/>
        <v>0</v>
      </c>
      <c r="W59" s="114"/>
      <c r="X59" s="116">
        <f t="shared" si="7"/>
        <v>0</v>
      </c>
    </row>
    <row r="60" spans="1:25" ht="24.95" customHeight="1">
      <c r="A60" s="7">
        <v>27</v>
      </c>
      <c r="B60" s="23" t="s">
        <v>37</v>
      </c>
      <c r="C60" s="23"/>
      <c r="D60" s="23"/>
      <c r="E60" s="23" t="s">
        <v>34</v>
      </c>
      <c r="F60" s="163">
        <v>15</v>
      </c>
      <c r="G60" s="31">
        <v>3475.22</v>
      </c>
      <c r="H60" s="31">
        <f t="shared" si="9"/>
        <v>3475.22</v>
      </c>
      <c r="I60" s="204">
        <f t="shared" ref="I60:I67" si="11">VLOOKUP(H60,$Z$10:$AC$20,1)</f>
        <v>2422.81</v>
      </c>
      <c r="J60" s="205">
        <f t="shared" ref="J60:J67" si="12">+H60-I60</f>
        <v>1052.4099999999999</v>
      </c>
      <c r="K60" s="206">
        <f t="shared" ref="K60:K67" si="13">VLOOKUP(H60,$Z$10:$AC$20,4)</f>
        <v>0.10879999999999999</v>
      </c>
      <c r="L60" s="205">
        <f t="shared" ref="L60:L67" si="14">J60*K60</f>
        <v>114.50220799999998</v>
      </c>
      <c r="M60" s="207">
        <f t="shared" ref="M60:M67" si="15">VLOOKUP(H60,$Z$10:$AC$20,3)</f>
        <v>142.19999999999999</v>
      </c>
      <c r="N60" s="205">
        <f t="shared" ref="N60:N67" si="16">+L60+M60</f>
        <v>256.70220799999998</v>
      </c>
      <c r="O60" s="207">
        <f t="shared" ref="O60:O67" si="17">VLOOKUP(H60,$Z$27:$AB$37,3)</f>
        <v>125.1</v>
      </c>
      <c r="P60" s="249">
        <f t="shared" ref="P60:P67" si="18">IF(N60-O60&gt;0,N60-O60,0)</f>
        <v>131.60220799999999</v>
      </c>
      <c r="Q60" s="249">
        <f t="shared" ref="Q60:Q67" si="19">IF(O60-N60&gt;0,O60-N60,0)</f>
        <v>0</v>
      </c>
      <c r="R60" s="31">
        <v>0</v>
      </c>
      <c r="S60" s="131">
        <f t="shared" ref="S60:S67" si="20">+H60-P60+Q60-R60</f>
        <v>3343.617792</v>
      </c>
      <c r="T60" s="31"/>
      <c r="U60" s="24">
        <f t="shared" si="10"/>
        <v>6950.44</v>
      </c>
      <c r="W60" s="114">
        <v>6748</v>
      </c>
      <c r="X60" s="116">
        <f t="shared" si="7"/>
        <v>3374</v>
      </c>
    </row>
    <row r="61" spans="1:25" ht="24.95" customHeight="1">
      <c r="A61" s="7">
        <v>28</v>
      </c>
      <c r="B61" s="23" t="s">
        <v>36</v>
      </c>
      <c r="C61" s="23"/>
      <c r="D61" s="23"/>
      <c r="E61" s="23" t="s">
        <v>35</v>
      </c>
      <c r="F61" s="163">
        <v>15</v>
      </c>
      <c r="G61" s="31">
        <v>3486.55</v>
      </c>
      <c r="H61" s="31">
        <f t="shared" si="9"/>
        <v>3486.55</v>
      </c>
      <c r="I61" s="204">
        <f t="shared" si="11"/>
        <v>2422.81</v>
      </c>
      <c r="J61" s="205">
        <f t="shared" si="12"/>
        <v>1063.7400000000002</v>
      </c>
      <c r="K61" s="206">
        <f t="shared" si="13"/>
        <v>0.10879999999999999</v>
      </c>
      <c r="L61" s="205">
        <f t="shared" si="14"/>
        <v>115.73491200000002</v>
      </c>
      <c r="M61" s="207">
        <f t="shared" si="15"/>
        <v>142.19999999999999</v>
      </c>
      <c r="N61" s="205">
        <f t="shared" si="16"/>
        <v>257.934912</v>
      </c>
      <c r="O61" s="207">
        <f t="shared" si="17"/>
        <v>125.1</v>
      </c>
      <c r="P61" s="249">
        <f t="shared" si="18"/>
        <v>132.834912</v>
      </c>
      <c r="Q61" s="249">
        <f t="shared" si="19"/>
        <v>0</v>
      </c>
      <c r="R61" s="31">
        <v>0</v>
      </c>
      <c r="S61" s="131">
        <f t="shared" si="20"/>
        <v>3353.7150880000004</v>
      </c>
      <c r="T61" s="31"/>
      <c r="U61" s="24">
        <f t="shared" si="10"/>
        <v>6973.1</v>
      </c>
      <c r="W61" s="114">
        <v>6770</v>
      </c>
      <c r="X61" s="116">
        <f t="shared" si="7"/>
        <v>3385</v>
      </c>
    </row>
    <row r="62" spans="1:25" ht="24.95" customHeight="1">
      <c r="A62" s="7">
        <v>29</v>
      </c>
      <c r="B62" s="23" t="s">
        <v>95</v>
      </c>
      <c r="C62" s="23"/>
      <c r="D62" s="23"/>
      <c r="E62" s="23" t="s">
        <v>35</v>
      </c>
      <c r="F62" s="163">
        <v>15</v>
      </c>
      <c r="G62" s="31">
        <v>2854</v>
      </c>
      <c r="H62" s="31">
        <f t="shared" si="9"/>
        <v>2854</v>
      </c>
      <c r="I62" s="204">
        <f t="shared" si="11"/>
        <v>2422.81</v>
      </c>
      <c r="J62" s="205">
        <f t="shared" si="12"/>
        <v>431.19000000000005</v>
      </c>
      <c r="K62" s="206">
        <f t="shared" si="13"/>
        <v>0.10879999999999999</v>
      </c>
      <c r="L62" s="205">
        <f t="shared" si="14"/>
        <v>46.913472000000006</v>
      </c>
      <c r="M62" s="207">
        <f t="shared" si="15"/>
        <v>142.19999999999999</v>
      </c>
      <c r="N62" s="205">
        <f t="shared" si="16"/>
        <v>189.113472</v>
      </c>
      <c r="O62" s="207">
        <f t="shared" si="17"/>
        <v>145.35</v>
      </c>
      <c r="P62" s="249">
        <f t="shared" si="18"/>
        <v>43.763472000000007</v>
      </c>
      <c r="Q62" s="249">
        <f t="shared" si="19"/>
        <v>0</v>
      </c>
      <c r="R62" s="31">
        <v>0</v>
      </c>
      <c r="S62" s="131">
        <f t="shared" si="20"/>
        <v>2810.2365279999999</v>
      </c>
      <c r="T62" s="31"/>
      <c r="U62" s="24">
        <f t="shared" si="10"/>
        <v>5708</v>
      </c>
      <c r="W62" s="114">
        <v>5708</v>
      </c>
      <c r="X62" s="116">
        <f t="shared" si="7"/>
        <v>2854</v>
      </c>
      <c r="Y62" s="294" t="s">
        <v>308</v>
      </c>
    </row>
    <row r="63" spans="1:25" ht="24.95" customHeight="1">
      <c r="A63" s="7">
        <v>30</v>
      </c>
      <c r="B63" s="23" t="s">
        <v>38</v>
      </c>
      <c r="C63" s="23"/>
      <c r="D63" s="23"/>
      <c r="E63" s="23" t="s">
        <v>35</v>
      </c>
      <c r="F63" s="163">
        <v>15</v>
      </c>
      <c r="G63" s="31">
        <v>2254.67</v>
      </c>
      <c r="H63" s="31">
        <f t="shared" si="9"/>
        <v>2254.67</v>
      </c>
      <c r="I63" s="204">
        <f t="shared" si="11"/>
        <v>285.45999999999998</v>
      </c>
      <c r="J63" s="205">
        <f t="shared" si="12"/>
        <v>1969.21</v>
      </c>
      <c r="K63" s="206">
        <f t="shared" si="13"/>
        <v>6.4000000000000001E-2</v>
      </c>
      <c r="L63" s="205">
        <f t="shared" si="14"/>
        <v>126.02944000000001</v>
      </c>
      <c r="M63" s="207">
        <f t="shared" si="15"/>
        <v>5.55</v>
      </c>
      <c r="N63" s="205">
        <f t="shared" si="16"/>
        <v>131.57944000000001</v>
      </c>
      <c r="O63" s="207">
        <f t="shared" si="17"/>
        <v>174.75</v>
      </c>
      <c r="P63" s="249">
        <f t="shared" si="18"/>
        <v>0</v>
      </c>
      <c r="Q63" s="249">
        <f t="shared" si="19"/>
        <v>43.170559999999995</v>
      </c>
      <c r="R63" s="31">
        <v>0</v>
      </c>
      <c r="S63" s="131">
        <f t="shared" si="20"/>
        <v>2297.8405600000001</v>
      </c>
      <c r="T63" s="31"/>
      <c r="U63" s="24">
        <f t="shared" si="10"/>
        <v>4509.34</v>
      </c>
      <c r="W63" s="114">
        <v>4378</v>
      </c>
      <c r="X63" s="116">
        <f t="shared" si="7"/>
        <v>2189</v>
      </c>
      <c r="Y63" s="294" t="s">
        <v>309</v>
      </c>
    </row>
    <row r="64" spans="1:25" ht="24.95" customHeight="1">
      <c r="A64" s="7">
        <v>31</v>
      </c>
      <c r="B64" s="6" t="s">
        <v>40</v>
      </c>
      <c r="C64" s="6"/>
      <c r="D64" s="6"/>
      <c r="E64" s="6" t="s">
        <v>41</v>
      </c>
      <c r="F64" s="7">
        <v>15</v>
      </c>
      <c r="G64" s="31">
        <v>2800.57</v>
      </c>
      <c r="H64" s="31">
        <f t="shared" si="9"/>
        <v>2800.57</v>
      </c>
      <c r="I64" s="204">
        <f t="shared" si="11"/>
        <v>2422.81</v>
      </c>
      <c r="J64" s="205">
        <f t="shared" si="12"/>
        <v>377.76000000000022</v>
      </c>
      <c r="K64" s="206">
        <f t="shared" si="13"/>
        <v>0.10879999999999999</v>
      </c>
      <c r="L64" s="205">
        <f t="shared" si="14"/>
        <v>41.10028800000002</v>
      </c>
      <c r="M64" s="207">
        <f t="shared" si="15"/>
        <v>142.19999999999999</v>
      </c>
      <c r="N64" s="205">
        <f t="shared" si="16"/>
        <v>183.30028800000002</v>
      </c>
      <c r="O64" s="207">
        <f t="shared" si="17"/>
        <v>145.35</v>
      </c>
      <c r="P64" s="249">
        <f t="shared" si="18"/>
        <v>37.950288000000029</v>
      </c>
      <c r="Q64" s="249">
        <f t="shared" si="19"/>
        <v>0</v>
      </c>
      <c r="R64" s="31">
        <v>0</v>
      </c>
      <c r="S64" s="131">
        <f t="shared" si="20"/>
        <v>2762.6197120000002</v>
      </c>
      <c r="T64" s="31"/>
      <c r="U64" s="24">
        <f t="shared" si="10"/>
        <v>5601.14</v>
      </c>
      <c r="W64" s="114">
        <v>5438</v>
      </c>
      <c r="X64" s="116">
        <f t="shared" si="7"/>
        <v>2719</v>
      </c>
    </row>
    <row r="65" spans="1:25" ht="24.95" customHeight="1">
      <c r="A65" s="7">
        <v>32</v>
      </c>
      <c r="B65" s="6" t="s">
        <v>85</v>
      </c>
      <c r="C65" s="6"/>
      <c r="D65" s="6"/>
      <c r="E65" s="6" t="s">
        <v>41</v>
      </c>
      <c r="F65" s="7">
        <v>15</v>
      </c>
      <c r="G65" s="31">
        <v>2800.57</v>
      </c>
      <c r="H65" s="31">
        <f t="shared" si="9"/>
        <v>2800.57</v>
      </c>
      <c r="I65" s="204">
        <f t="shared" si="11"/>
        <v>2422.81</v>
      </c>
      <c r="J65" s="205">
        <f t="shared" si="12"/>
        <v>377.76000000000022</v>
      </c>
      <c r="K65" s="206">
        <f t="shared" si="13"/>
        <v>0.10879999999999999</v>
      </c>
      <c r="L65" s="205">
        <f t="shared" si="14"/>
        <v>41.10028800000002</v>
      </c>
      <c r="M65" s="207">
        <f t="shared" si="15"/>
        <v>142.19999999999999</v>
      </c>
      <c r="N65" s="205">
        <f t="shared" si="16"/>
        <v>183.30028800000002</v>
      </c>
      <c r="O65" s="207">
        <f t="shared" si="17"/>
        <v>145.35</v>
      </c>
      <c r="P65" s="249">
        <f t="shared" si="18"/>
        <v>37.950288000000029</v>
      </c>
      <c r="Q65" s="249">
        <f t="shared" si="19"/>
        <v>0</v>
      </c>
      <c r="R65" s="31">
        <v>0</v>
      </c>
      <c r="S65" s="131">
        <f t="shared" si="20"/>
        <v>2762.6197120000002</v>
      </c>
      <c r="T65" s="31"/>
      <c r="U65" s="24">
        <f t="shared" si="10"/>
        <v>5601.14</v>
      </c>
      <c r="W65" s="114">
        <v>5438</v>
      </c>
      <c r="X65" s="116">
        <f t="shared" si="7"/>
        <v>2719</v>
      </c>
    </row>
    <row r="66" spans="1:25" ht="24.95" customHeight="1">
      <c r="A66" s="59">
        <v>33</v>
      </c>
      <c r="B66" s="58" t="s">
        <v>208</v>
      </c>
      <c r="C66" s="58"/>
      <c r="D66" s="58"/>
      <c r="E66" s="6" t="s">
        <v>35</v>
      </c>
      <c r="F66" s="7">
        <v>15</v>
      </c>
      <c r="G66" s="8">
        <v>2758.34</v>
      </c>
      <c r="H66" s="31">
        <f t="shared" si="9"/>
        <v>2758.34</v>
      </c>
      <c r="I66" s="204">
        <f t="shared" si="11"/>
        <v>2422.81</v>
      </c>
      <c r="J66" s="205">
        <f t="shared" si="12"/>
        <v>335.5300000000002</v>
      </c>
      <c r="K66" s="206">
        <f t="shared" si="13"/>
        <v>0.10879999999999999</v>
      </c>
      <c r="L66" s="205">
        <f t="shared" si="14"/>
        <v>36.505664000000017</v>
      </c>
      <c r="M66" s="207">
        <f t="shared" si="15"/>
        <v>142.19999999999999</v>
      </c>
      <c r="N66" s="205">
        <f t="shared" si="16"/>
        <v>178.70566400000001</v>
      </c>
      <c r="O66" s="207">
        <f t="shared" si="17"/>
        <v>145.35</v>
      </c>
      <c r="P66" s="249">
        <f t="shared" si="18"/>
        <v>33.355664000000019</v>
      </c>
      <c r="Q66" s="249">
        <f t="shared" si="19"/>
        <v>0</v>
      </c>
      <c r="R66" s="31">
        <v>0</v>
      </c>
      <c r="S66" s="131">
        <f t="shared" si="20"/>
        <v>2724.984336</v>
      </c>
      <c r="T66" s="31"/>
      <c r="U66" s="24">
        <f t="shared" si="10"/>
        <v>5516.68</v>
      </c>
      <c r="W66" s="114">
        <v>5356</v>
      </c>
      <c r="X66" s="116">
        <f t="shared" si="7"/>
        <v>2678</v>
      </c>
    </row>
    <row r="67" spans="1:25" ht="24.95" customHeight="1">
      <c r="A67" s="161">
        <v>34</v>
      </c>
      <c r="B67" s="6" t="s">
        <v>196</v>
      </c>
      <c r="C67" s="6"/>
      <c r="D67" s="6"/>
      <c r="E67" s="6" t="s">
        <v>35</v>
      </c>
      <c r="F67" s="7">
        <v>15</v>
      </c>
      <c r="G67" s="8">
        <v>2130.04</v>
      </c>
      <c r="H67" s="31">
        <f t="shared" si="9"/>
        <v>2130.04</v>
      </c>
      <c r="I67" s="204">
        <f t="shared" si="11"/>
        <v>285.45999999999998</v>
      </c>
      <c r="J67" s="205">
        <f t="shared" si="12"/>
        <v>1844.58</v>
      </c>
      <c r="K67" s="206">
        <f t="shared" si="13"/>
        <v>6.4000000000000001E-2</v>
      </c>
      <c r="L67" s="205">
        <f t="shared" si="14"/>
        <v>118.05311999999999</v>
      </c>
      <c r="M67" s="207">
        <f t="shared" si="15"/>
        <v>5.55</v>
      </c>
      <c r="N67" s="205">
        <f t="shared" si="16"/>
        <v>123.60311999999999</v>
      </c>
      <c r="O67" s="207">
        <f t="shared" si="17"/>
        <v>188.7</v>
      </c>
      <c r="P67" s="250">
        <f t="shared" si="18"/>
        <v>0</v>
      </c>
      <c r="Q67" s="250">
        <f t="shared" si="19"/>
        <v>65.096879999999999</v>
      </c>
      <c r="R67" s="8">
        <v>0</v>
      </c>
      <c r="S67" s="131">
        <f t="shared" si="20"/>
        <v>2195.13688</v>
      </c>
      <c r="T67" s="31"/>
      <c r="W67" s="114"/>
      <c r="X67" s="116"/>
    </row>
    <row r="68" spans="1:25" ht="21.95" customHeight="1">
      <c r="A68" s="324" t="s">
        <v>12</v>
      </c>
      <c r="B68" s="326"/>
      <c r="C68" s="326"/>
      <c r="D68" s="326"/>
      <c r="E68" s="326"/>
      <c r="F68" s="326"/>
      <c r="G68" s="326"/>
      <c r="H68" s="326"/>
      <c r="I68" s="326"/>
      <c r="J68" s="326"/>
      <c r="K68" s="326"/>
      <c r="L68" s="326"/>
      <c r="M68" s="326"/>
      <c r="N68" s="326"/>
      <c r="O68" s="326"/>
      <c r="P68" s="326"/>
      <c r="Q68" s="326"/>
      <c r="R68" s="326"/>
      <c r="S68" s="326"/>
      <c r="T68" s="326"/>
      <c r="W68" s="114"/>
      <c r="X68" s="116"/>
    </row>
    <row r="69" spans="1:25" ht="21.95" customHeight="1">
      <c r="A69" s="324" t="s">
        <v>238</v>
      </c>
      <c r="B69" s="324"/>
      <c r="C69" s="324"/>
      <c r="D69" s="324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  <c r="T69" s="324"/>
      <c r="W69" s="114"/>
      <c r="X69" s="116"/>
    </row>
    <row r="70" spans="1:25" ht="21.95" customHeight="1">
      <c r="A70" s="331" t="str">
        <f>A39</f>
        <v>SUELDOS 2DA QUINCENA DEL MES DE AGOSTO DE 2018</v>
      </c>
      <c r="B70" s="329"/>
      <c r="C70" s="329"/>
      <c r="D70" s="329"/>
      <c r="E70" s="329"/>
      <c r="F70" s="329"/>
      <c r="G70" s="329"/>
      <c r="H70" s="329"/>
      <c r="I70" s="329"/>
      <c r="J70" s="329"/>
      <c r="K70" s="329"/>
      <c r="L70" s="329"/>
      <c r="M70" s="329"/>
      <c r="N70" s="329"/>
      <c r="O70" s="329"/>
      <c r="P70" s="329"/>
      <c r="Q70" s="329"/>
      <c r="R70" s="329"/>
      <c r="S70" s="329"/>
      <c r="T70" s="329"/>
      <c r="W70" s="114"/>
      <c r="X70" s="116"/>
    </row>
    <row r="71" spans="1:25" ht="21.95" customHeight="1">
      <c r="A71" s="331" t="s">
        <v>224</v>
      </c>
      <c r="B71" s="331"/>
      <c r="C71" s="331"/>
      <c r="D71" s="331"/>
      <c r="E71" s="331"/>
      <c r="F71" s="331"/>
      <c r="G71" s="331"/>
      <c r="H71" s="331"/>
      <c r="I71" s="331"/>
      <c r="J71" s="331"/>
      <c r="K71" s="331"/>
      <c r="L71" s="331"/>
      <c r="M71" s="331"/>
      <c r="N71" s="331"/>
      <c r="O71" s="331"/>
      <c r="P71" s="331"/>
      <c r="Q71" s="331"/>
      <c r="R71" s="331"/>
      <c r="S71" s="331"/>
      <c r="T71" s="331"/>
      <c r="W71" s="114"/>
      <c r="X71" s="116"/>
    </row>
    <row r="72" spans="1:25" ht="21.95" customHeight="1">
      <c r="A72" s="25"/>
      <c r="B72" s="82"/>
      <c r="C72" s="82"/>
      <c r="D72" s="82"/>
      <c r="E72" s="82"/>
      <c r="F72" s="84" t="s">
        <v>4</v>
      </c>
      <c r="G72" s="169"/>
      <c r="H72" s="219"/>
      <c r="I72" s="315" t="s">
        <v>290</v>
      </c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84"/>
      <c r="W72" s="114"/>
      <c r="X72" s="116"/>
    </row>
    <row r="73" spans="1:25" ht="18.75" customHeight="1">
      <c r="A73" s="27" t="s">
        <v>3</v>
      </c>
      <c r="B73" s="83"/>
      <c r="C73" s="83"/>
      <c r="D73" s="83"/>
      <c r="E73" s="83"/>
      <c r="F73" s="86" t="s">
        <v>5</v>
      </c>
      <c r="G73" s="84" t="s">
        <v>1</v>
      </c>
      <c r="H73" s="84" t="s">
        <v>227</v>
      </c>
      <c r="I73" s="315" t="s">
        <v>270</v>
      </c>
      <c r="J73" s="316"/>
      <c r="K73" s="316"/>
      <c r="L73" s="316"/>
      <c r="M73" s="316"/>
      <c r="N73" s="316"/>
      <c r="O73" s="316"/>
      <c r="P73" s="316"/>
      <c r="Q73" s="317"/>
      <c r="R73" s="85" t="s">
        <v>244</v>
      </c>
      <c r="S73" s="85" t="s">
        <v>230</v>
      </c>
      <c r="T73" s="83" t="s">
        <v>232</v>
      </c>
      <c r="W73" s="114"/>
      <c r="X73" s="116"/>
    </row>
    <row r="74" spans="1:25" ht="21.95" customHeight="1">
      <c r="A74" s="27"/>
      <c r="B74" s="88"/>
      <c r="C74" s="88"/>
      <c r="D74" s="88"/>
      <c r="E74" s="88" t="s">
        <v>10</v>
      </c>
      <c r="F74" s="83"/>
      <c r="G74" s="83" t="s">
        <v>7</v>
      </c>
      <c r="H74" s="83" t="s">
        <v>230</v>
      </c>
      <c r="I74" s="85" t="s">
        <v>272</v>
      </c>
      <c r="J74" s="85" t="s">
        <v>273</v>
      </c>
      <c r="K74" s="85" t="s">
        <v>282</v>
      </c>
      <c r="L74" s="85" t="s">
        <v>274</v>
      </c>
      <c r="M74" s="85" t="s">
        <v>275</v>
      </c>
      <c r="N74" s="85" t="s">
        <v>271</v>
      </c>
      <c r="O74" s="85" t="s">
        <v>283</v>
      </c>
      <c r="P74" s="192" t="s">
        <v>271</v>
      </c>
      <c r="Q74" s="85" t="s">
        <v>286</v>
      </c>
      <c r="R74" s="84" t="s">
        <v>246</v>
      </c>
      <c r="S74" s="84" t="s">
        <v>233</v>
      </c>
      <c r="T74" s="83"/>
      <c r="W74" s="114"/>
      <c r="X74" s="116"/>
    </row>
    <row r="75" spans="1:25" ht="21.75" customHeight="1">
      <c r="A75" s="178"/>
      <c r="B75" s="89" t="s">
        <v>14</v>
      </c>
      <c r="C75" s="89"/>
      <c r="D75" s="89"/>
      <c r="E75" s="89" t="s">
        <v>9</v>
      </c>
      <c r="F75" s="85"/>
      <c r="G75" s="85"/>
      <c r="H75" s="85"/>
      <c r="I75" s="84" t="s">
        <v>277</v>
      </c>
      <c r="J75" s="84" t="s">
        <v>278</v>
      </c>
      <c r="K75" s="84" t="s">
        <v>278</v>
      </c>
      <c r="L75" s="84" t="s">
        <v>279</v>
      </c>
      <c r="M75" s="84" t="s">
        <v>280</v>
      </c>
      <c r="N75" s="84" t="s">
        <v>281</v>
      </c>
      <c r="O75" s="84" t="s">
        <v>284</v>
      </c>
      <c r="P75" s="85" t="s">
        <v>276</v>
      </c>
      <c r="Q75" s="84" t="s">
        <v>285</v>
      </c>
      <c r="R75" s="85"/>
      <c r="S75" s="85"/>
      <c r="T75" s="85"/>
      <c r="W75" s="114"/>
      <c r="X75" s="116"/>
    </row>
    <row r="76" spans="1:25" ht="24.95" customHeight="1">
      <c r="A76" s="7"/>
      <c r="B76" s="132" t="s">
        <v>42</v>
      </c>
      <c r="C76" s="132"/>
      <c r="D76" s="132"/>
      <c r="E76" s="60"/>
      <c r="F76" s="130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24">
        <f>G76*2</f>
        <v>0</v>
      </c>
      <c r="W76" s="114"/>
      <c r="X76" s="116">
        <f t="shared" si="7"/>
        <v>0</v>
      </c>
    </row>
    <row r="77" spans="1:25" ht="24.95" customHeight="1">
      <c r="A77" s="7">
        <v>35</v>
      </c>
      <c r="B77" s="6" t="s">
        <v>112</v>
      </c>
      <c r="C77" s="6"/>
      <c r="D77" s="6"/>
      <c r="E77" s="6" t="s">
        <v>43</v>
      </c>
      <c r="F77" s="7">
        <v>15</v>
      </c>
      <c r="G77" s="31">
        <v>2147.5500000000002</v>
      </c>
      <c r="H77" s="31">
        <f>(G77/15)*F77</f>
        <v>2147.5500000000002</v>
      </c>
      <c r="I77" s="204">
        <f>VLOOKUP(H77,$Z$10:$AC$20,1)</f>
        <v>285.45999999999998</v>
      </c>
      <c r="J77" s="205">
        <f>+H77-I77</f>
        <v>1862.0900000000001</v>
      </c>
      <c r="K77" s="206">
        <f>VLOOKUP(H77,$Z$10:$AC$20,4)</f>
        <v>6.4000000000000001E-2</v>
      </c>
      <c r="L77" s="205">
        <f>J77*K77</f>
        <v>119.17376000000002</v>
      </c>
      <c r="M77" s="207">
        <f>VLOOKUP(H77,$Z$10:$AC$20,3)</f>
        <v>5.55</v>
      </c>
      <c r="N77" s="205">
        <f>+L77+M77</f>
        <v>124.72376000000001</v>
      </c>
      <c r="O77" s="207">
        <f>VLOOKUP(H77,$Z$27:$AB$37,3)</f>
        <v>188.7</v>
      </c>
      <c r="P77" s="249">
        <f>IF(N77-O77&gt;0,N77-O77,0)</f>
        <v>0</v>
      </c>
      <c r="Q77" s="249">
        <f>IF(O77-N77&gt;0,O77-N77,0)</f>
        <v>63.976239999999976</v>
      </c>
      <c r="R77" s="31">
        <v>0</v>
      </c>
      <c r="S77" s="31">
        <f>+H77-P77+Q77-R77</f>
        <v>2211.5262400000001</v>
      </c>
      <c r="T77" s="31"/>
      <c r="U77" s="24">
        <f>G77*2</f>
        <v>4295.1000000000004</v>
      </c>
      <c r="W77" s="114">
        <v>4170</v>
      </c>
      <c r="X77" s="116">
        <f t="shared" si="7"/>
        <v>2085</v>
      </c>
    </row>
    <row r="78" spans="1:25" ht="24.95" customHeight="1">
      <c r="A78" s="7"/>
      <c r="B78" s="276" t="s">
        <v>247</v>
      </c>
      <c r="C78" s="276"/>
      <c r="D78" s="276"/>
      <c r="E78" s="23"/>
      <c r="F78" s="163"/>
      <c r="G78" s="31"/>
      <c r="H78" s="31"/>
      <c r="I78" s="31"/>
      <c r="J78" s="31"/>
      <c r="K78" s="31"/>
      <c r="L78" s="31"/>
      <c r="M78" s="31"/>
      <c r="N78" s="31"/>
      <c r="O78" s="31"/>
      <c r="P78" s="131"/>
      <c r="Q78" s="131"/>
      <c r="R78" s="31"/>
      <c r="S78" s="31"/>
      <c r="T78" s="31"/>
      <c r="W78" s="114"/>
      <c r="X78" s="116"/>
    </row>
    <row r="79" spans="1:25" ht="24.95" customHeight="1">
      <c r="A79" s="7">
        <v>36</v>
      </c>
      <c r="B79" s="23" t="s">
        <v>248</v>
      </c>
      <c r="C79" s="23"/>
      <c r="D79" s="23"/>
      <c r="E79" s="23"/>
      <c r="F79" s="163">
        <v>15</v>
      </c>
      <c r="G79" s="31">
        <v>2785</v>
      </c>
      <c r="H79" s="31">
        <f t="shared" ref="H79:H89" si="21">(G79/15)*F79</f>
        <v>2785</v>
      </c>
      <c r="I79" s="204">
        <f>VLOOKUP(H79,$Z$10:$AC$20,1)</f>
        <v>2422.81</v>
      </c>
      <c r="J79" s="205">
        <f>+H79-I79</f>
        <v>362.19000000000005</v>
      </c>
      <c r="K79" s="206">
        <f>VLOOKUP(H79,$Z$10:$AC$20,4)</f>
        <v>0.10879999999999999</v>
      </c>
      <c r="L79" s="205">
        <f>J79*K79</f>
        <v>39.406272000000001</v>
      </c>
      <c r="M79" s="207">
        <f>VLOOKUP(H79,$Z$10:$AC$20,3)</f>
        <v>142.19999999999999</v>
      </c>
      <c r="N79" s="205">
        <f>+L79+M79</f>
        <v>181.60627199999999</v>
      </c>
      <c r="O79" s="207">
        <f>VLOOKUP(H79,$Z$27:$AB$37,3)</f>
        <v>145.35</v>
      </c>
      <c r="P79" s="249">
        <f>IF(N79-O79&gt;0,N79-O79,0)</f>
        <v>36.256271999999996</v>
      </c>
      <c r="Q79" s="249">
        <f>IF(O79-N79&gt;0,O79-N79,0)</f>
        <v>0</v>
      </c>
      <c r="R79" s="31">
        <v>0</v>
      </c>
      <c r="S79" s="31">
        <f>+H79-P79+Q79-R79</f>
        <v>2748.7437279999999</v>
      </c>
      <c r="T79" s="31"/>
      <c r="W79" s="114"/>
      <c r="X79" s="116"/>
      <c r="Y79" s="294" t="s">
        <v>309</v>
      </c>
    </row>
    <row r="80" spans="1:25" ht="24.95" customHeight="1">
      <c r="A80" s="163">
        <v>37</v>
      </c>
      <c r="B80" s="23" t="s">
        <v>45</v>
      </c>
      <c r="C80" s="23"/>
      <c r="D80" s="23"/>
      <c r="E80" s="23" t="s">
        <v>46</v>
      </c>
      <c r="F80" s="163">
        <v>15</v>
      </c>
      <c r="G80" s="31">
        <v>2216.56</v>
      </c>
      <c r="H80" s="31">
        <f t="shared" si="21"/>
        <v>2216.56</v>
      </c>
      <c r="I80" s="204">
        <f>VLOOKUP(H80,$Z$10:$AC$20,1)</f>
        <v>285.45999999999998</v>
      </c>
      <c r="J80" s="205">
        <f>+H80-I80</f>
        <v>1931.1</v>
      </c>
      <c r="K80" s="206">
        <f>VLOOKUP(H80,$Z$10:$AC$20,4)</f>
        <v>6.4000000000000001E-2</v>
      </c>
      <c r="L80" s="205">
        <f>J80*K80</f>
        <v>123.5904</v>
      </c>
      <c r="M80" s="207">
        <f>VLOOKUP(H80,$Z$10:$AC$20,3)</f>
        <v>5.55</v>
      </c>
      <c r="N80" s="205">
        <f>+L80+M80</f>
        <v>129.1404</v>
      </c>
      <c r="O80" s="207">
        <f>VLOOKUP(H80,$Z$27:$AB$37,3)</f>
        <v>174.75</v>
      </c>
      <c r="P80" s="249">
        <f>IF(N80-O80&gt;0,N80-O80,0)</f>
        <v>0</v>
      </c>
      <c r="Q80" s="249">
        <f>IF(O80-N80&gt;0,O80-N80,0)</f>
        <v>45.6096</v>
      </c>
      <c r="R80" s="31">
        <v>0</v>
      </c>
      <c r="S80" s="31">
        <f>+H80-P80+Q80-R80</f>
        <v>2262.1696000000002</v>
      </c>
      <c r="T80" s="31"/>
      <c r="U80" s="24">
        <f t="shared" ref="U80:U89" si="22">G80*2</f>
        <v>4433.12</v>
      </c>
      <c r="W80" s="114">
        <v>4304</v>
      </c>
      <c r="X80" s="116">
        <f t="shared" si="7"/>
        <v>2152</v>
      </c>
    </row>
    <row r="81" spans="1:24" ht="24.95" customHeight="1">
      <c r="A81" s="163">
        <v>38</v>
      </c>
      <c r="B81" s="6" t="s">
        <v>47</v>
      </c>
      <c r="C81" s="6"/>
      <c r="D81" s="6"/>
      <c r="E81" s="6" t="s">
        <v>48</v>
      </c>
      <c r="F81" s="7">
        <v>15</v>
      </c>
      <c r="G81" s="31">
        <v>2652.25</v>
      </c>
      <c r="H81" s="31">
        <f t="shared" si="21"/>
        <v>2652.25</v>
      </c>
      <c r="I81" s="204">
        <f>VLOOKUP(H81,$Z$10:$AC$20,1)</f>
        <v>2422.81</v>
      </c>
      <c r="J81" s="205">
        <f>+H81-I81</f>
        <v>229.44000000000005</v>
      </c>
      <c r="K81" s="206">
        <f>VLOOKUP(H81,$Z$10:$AC$20,4)</f>
        <v>0.10879999999999999</v>
      </c>
      <c r="L81" s="205">
        <f>J81*K81</f>
        <v>24.963072000000004</v>
      </c>
      <c r="M81" s="207">
        <f>VLOOKUP(H81,$Z$10:$AC$20,3)</f>
        <v>142.19999999999999</v>
      </c>
      <c r="N81" s="205">
        <f>+L81+M81</f>
        <v>167.163072</v>
      </c>
      <c r="O81" s="207">
        <f>VLOOKUP(H81,$Z$27:$AB$37,3)</f>
        <v>145.35</v>
      </c>
      <c r="P81" s="249">
        <f>IF(N81-O81&gt;0,N81-O81,0)</f>
        <v>21.813072000000005</v>
      </c>
      <c r="Q81" s="249">
        <f>IF(O81-N81&gt;0,O81-N81,0)</f>
        <v>0</v>
      </c>
      <c r="R81" s="31">
        <v>0</v>
      </c>
      <c r="S81" s="31">
        <f>+H81-P81+Q81-R81</f>
        <v>2630.4369280000001</v>
      </c>
      <c r="T81" s="31"/>
      <c r="U81" s="24">
        <f t="shared" si="22"/>
        <v>5304.5</v>
      </c>
      <c r="W81" s="114">
        <v>5150</v>
      </c>
      <c r="X81" s="116">
        <f t="shared" si="7"/>
        <v>2575</v>
      </c>
    </row>
    <row r="82" spans="1:24" ht="24.95" customHeight="1">
      <c r="A82" s="163"/>
      <c r="B82" s="12" t="s">
        <v>188</v>
      </c>
      <c r="C82" s="12"/>
      <c r="D82" s="12"/>
      <c r="E82" s="6"/>
      <c r="F82" s="7"/>
      <c r="G82" s="31"/>
      <c r="H82" s="31"/>
      <c r="I82" s="31"/>
      <c r="J82" s="31"/>
      <c r="K82" s="31"/>
      <c r="L82" s="31"/>
      <c r="M82" s="31"/>
      <c r="N82" s="31"/>
      <c r="O82" s="31"/>
      <c r="P82" s="131"/>
      <c r="Q82" s="131"/>
      <c r="R82" s="31"/>
      <c r="S82" s="31"/>
      <c r="T82" s="31"/>
      <c r="U82" s="24">
        <f t="shared" si="22"/>
        <v>0</v>
      </c>
      <c r="W82" s="114"/>
      <c r="X82" s="116">
        <f t="shared" si="7"/>
        <v>0</v>
      </c>
    </row>
    <row r="83" spans="1:24" ht="24.95" customHeight="1">
      <c r="A83" s="7">
        <v>39</v>
      </c>
      <c r="B83" s="6" t="s">
        <v>169</v>
      </c>
      <c r="C83" s="6"/>
      <c r="D83" s="6"/>
      <c r="E83" s="6" t="s">
        <v>136</v>
      </c>
      <c r="F83" s="7">
        <v>15</v>
      </c>
      <c r="G83" s="31">
        <v>4500</v>
      </c>
      <c r="H83" s="31">
        <f t="shared" si="21"/>
        <v>4500</v>
      </c>
      <c r="I83" s="204">
        <f>VLOOKUP(H83,$Z$10:$AC$20,1)</f>
        <v>4257.91</v>
      </c>
      <c r="J83" s="205">
        <f>+H83-I83</f>
        <v>242.09000000000015</v>
      </c>
      <c r="K83" s="206">
        <f>VLOOKUP(H83,$Z$10:$AC$20,4)</f>
        <v>0.16</v>
      </c>
      <c r="L83" s="205">
        <f>J83*K83</f>
        <v>38.734400000000022</v>
      </c>
      <c r="M83" s="207">
        <f>VLOOKUP(H83,$Z$10:$AC$20,3)</f>
        <v>341.85</v>
      </c>
      <c r="N83" s="205">
        <f>+L83+M83</f>
        <v>380.58440000000007</v>
      </c>
      <c r="O83" s="207">
        <f>VLOOKUP(H83,$Z$27:$AB$37,3)</f>
        <v>0</v>
      </c>
      <c r="P83" s="249">
        <f>IF(N83-O83&gt;0,N83-O83,0)</f>
        <v>380.58440000000007</v>
      </c>
      <c r="Q83" s="249">
        <f>IF(O83-N83&gt;0,O83-N83,0)</f>
        <v>0</v>
      </c>
      <c r="R83" s="31">
        <v>0</v>
      </c>
      <c r="S83" s="31">
        <f>+H83-P83+Q83-R83</f>
        <v>4119.4156000000003</v>
      </c>
      <c r="T83" s="31"/>
      <c r="U83" s="24">
        <f t="shared" si="22"/>
        <v>9000</v>
      </c>
      <c r="W83" s="114">
        <v>8998</v>
      </c>
      <c r="X83" s="116">
        <f t="shared" si="7"/>
        <v>4499</v>
      </c>
    </row>
    <row r="84" spans="1:24" ht="24.95" customHeight="1">
      <c r="A84" s="7"/>
      <c r="B84" s="12" t="s">
        <v>189</v>
      </c>
      <c r="C84" s="12"/>
      <c r="D84" s="12"/>
      <c r="E84" s="6"/>
      <c r="F84" s="7"/>
      <c r="G84" s="31"/>
      <c r="H84" s="31"/>
      <c r="I84" s="31"/>
      <c r="J84" s="31"/>
      <c r="K84" s="31"/>
      <c r="L84" s="31"/>
      <c r="M84" s="31"/>
      <c r="N84" s="31"/>
      <c r="O84" s="31"/>
      <c r="P84" s="131"/>
      <c r="Q84" s="131"/>
      <c r="R84" s="31"/>
      <c r="S84" s="31"/>
      <c r="T84" s="31"/>
      <c r="U84" s="24">
        <f t="shared" si="22"/>
        <v>0</v>
      </c>
      <c r="W84" s="114"/>
      <c r="X84" s="116">
        <f t="shared" si="7"/>
        <v>0</v>
      </c>
    </row>
    <row r="85" spans="1:24" ht="24.95" customHeight="1">
      <c r="A85" s="7">
        <v>40</v>
      </c>
      <c r="B85" s="6" t="s">
        <v>198</v>
      </c>
      <c r="C85" s="6"/>
      <c r="D85" s="6"/>
      <c r="E85" s="6" t="s">
        <v>16</v>
      </c>
      <c r="F85" s="7">
        <v>15</v>
      </c>
      <c r="G85" s="31">
        <v>3564.83</v>
      </c>
      <c r="H85" s="31">
        <f t="shared" si="21"/>
        <v>3564.83</v>
      </c>
      <c r="I85" s="204">
        <f>VLOOKUP(H85,$Z$10:$AC$20,1)</f>
        <v>2422.81</v>
      </c>
      <c r="J85" s="205">
        <f>+H85-I85</f>
        <v>1142.02</v>
      </c>
      <c r="K85" s="206">
        <f>VLOOKUP(H85,$Z$10:$AC$20,4)</f>
        <v>0.10879999999999999</v>
      </c>
      <c r="L85" s="205">
        <f>J85*K85</f>
        <v>124.25177599999999</v>
      </c>
      <c r="M85" s="207">
        <f>VLOOKUP(H85,$Z$10:$AC$20,3)</f>
        <v>142.19999999999999</v>
      </c>
      <c r="N85" s="205">
        <f>+L85+M85</f>
        <v>266.451776</v>
      </c>
      <c r="O85" s="207">
        <f>VLOOKUP(H85,$Z$27:$AB$37,3)</f>
        <v>107.4</v>
      </c>
      <c r="P85" s="249">
        <f>IF(N85-O85&gt;0,N85-O85,0)</f>
        <v>159.05177599999999</v>
      </c>
      <c r="Q85" s="249">
        <f>IF(O85-N85&gt;0,O85-N85,0)</f>
        <v>0</v>
      </c>
      <c r="R85" s="31">
        <v>0</v>
      </c>
      <c r="S85" s="31">
        <f>+H85-P85+Q85-R85</f>
        <v>3405.7782240000001</v>
      </c>
      <c r="T85" s="31"/>
      <c r="U85" s="24">
        <f t="shared" si="22"/>
        <v>7129.66</v>
      </c>
      <c r="W85" s="114">
        <v>6922</v>
      </c>
      <c r="X85" s="116">
        <f t="shared" si="7"/>
        <v>3461</v>
      </c>
    </row>
    <row r="86" spans="1:24" ht="24.95" customHeight="1">
      <c r="A86" s="7"/>
      <c r="B86" s="12" t="s">
        <v>49</v>
      </c>
      <c r="C86" s="12"/>
      <c r="D86" s="12"/>
      <c r="E86" s="6"/>
      <c r="F86" s="7"/>
      <c r="G86" s="31"/>
      <c r="H86" s="31"/>
      <c r="I86" s="31"/>
      <c r="J86" s="31"/>
      <c r="K86" s="31"/>
      <c r="L86" s="31"/>
      <c r="M86" s="31"/>
      <c r="N86" s="31"/>
      <c r="O86" s="31"/>
      <c r="P86" s="131"/>
      <c r="Q86" s="131"/>
      <c r="R86" s="31"/>
      <c r="S86" s="31"/>
      <c r="T86" s="31"/>
      <c r="U86" s="24">
        <f t="shared" si="22"/>
        <v>0</v>
      </c>
      <c r="W86" s="114"/>
      <c r="X86" s="116">
        <f t="shared" si="7"/>
        <v>0</v>
      </c>
    </row>
    <row r="87" spans="1:24" ht="24.95" customHeight="1">
      <c r="A87" s="7">
        <v>41</v>
      </c>
      <c r="B87" s="6" t="s">
        <v>135</v>
      </c>
      <c r="C87" s="6"/>
      <c r="D87" s="6"/>
      <c r="E87" s="6" t="s">
        <v>50</v>
      </c>
      <c r="F87" s="7">
        <v>15</v>
      </c>
      <c r="G87" s="31">
        <v>6800</v>
      </c>
      <c r="H87" s="31">
        <f t="shared" si="21"/>
        <v>6800</v>
      </c>
      <c r="I87" s="204">
        <f>VLOOKUP(H87,$Z$10:$AC$20,1)</f>
        <v>5925.91</v>
      </c>
      <c r="J87" s="205">
        <f>+H87-I87</f>
        <v>874.09000000000015</v>
      </c>
      <c r="K87" s="206">
        <f>VLOOKUP(H87,$Z$10:$AC$20,4)</f>
        <v>0.21360000000000001</v>
      </c>
      <c r="L87" s="205">
        <f>J87*K87</f>
        <v>186.70562400000003</v>
      </c>
      <c r="M87" s="207">
        <f>VLOOKUP(H87,$Z$10:$AC$20,3)</f>
        <v>627.6</v>
      </c>
      <c r="N87" s="205">
        <f>+L87+M87</f>
        <v>814.30562400000008</v>
      </c>
      <c r="O87" s="207">
        <f>VLOOKUP(H87,$Z$27:$AB$37,3)</f>
        <v>0</v>
      </c>
      <c r="P87" s="249">
        <f>IF(N87-O87&gt;0,N87-O87,0)</f>
        <v>814.30562400000008</v>
      </c>
      <c r="Q87" s="249">
        <f>IF(O87-N87&gt;0,O87-N87,0)</f>
        <v>0</v>
      </c>
      <c r="R87" s="31">
        <v>0</v>
      </c>
      <c r="S87" s="31">
        <f>+H87-P87+Q87-R87</f>
        <v>5985.6943759999995</v>
      </c>
      <c r="T87" s="31"/>
      <c r="U87" s="24">
        <f t="shared" si="22"/>
        <v>13600</v>
      </c>
      <c r="W87" s="114">
        <v>9360</v>
      </c>
      <c r="X87" s="116">
        <f t="shared" si="7"/>
        <v>4680</v>
      </c>
    </row>
    <row r="88" spans="1:24" ht="24.95" customHeight="1">
      <c r="A88" s="7"/>
      <c r="B88" s="12" t="s">
        <v>51</v>
      </c>
      <c r="C88" s="12"/>
      <c r="D88" s="12"/>
      <c r="E88" s="6"/>
      <c r="F88" s="7"/>
      <c r="G88" s="31"/>
      <c r="H88" s="31"/>
      <c r="I88" s="31"/>
      <c r="J88" s="31"/>
      <c r="K88" s="31"/>
      <c r="L88" s="31"/>
      <c r="M88" s="31"/>
      <c r="N88" s="31"/>
      <c r="O88" s="31"/>
      <c r="P88" s="131"/>
      <c r="Q88" s="131"/>
      <c r="R88" s="31"/>
      <c r="S88" s="31"/>
      <c r="T88" s="31"/>
      <c r="U88" s="24">
        <f t="shared" si="22"/>
        <v>0</v>
      </c>
      <c r="W88" s="114"/>
      <c r="X88" s="116">
        <f t="shared" si="7"/>
        <v>0</v>
      </c>
    </row>
    <row r="89" spans="1:24" ht="24.95" customHeight="1">
      <c r="A89" s="7">
        <v>42</v>
      </c>
      <c r="B89" s="23" t="s">
        <v>52</v>
      </c>
      <c r="C89" s="23"/>
      <c r="D89" s="23"/>
      <c r="E89" s="23" t="s">
        <v>105</v>
      </c>
      <c r="F89" s="163">
        <v>15</v>
      </c>
      <c r="G89" s="103">
        <v>1957</v>
      </c>
      <c r="H89" s="31">
        <f t="shared" si="21"/>
        <v>1957</v>
      </c>
      <c r="I89" s="204">
        <f>VLOOKUP(H89,$Z$10:$AC$20,1)</f>
        <v>285.45999999999998</v>
      </c>
      <c r="J89" s="205">
        <f>+H89-I89</f>
        <v>1671.54</v>
      </c>
      <c r="K89" s="206">
        <f>VLOOKUP(H89,$Z$10:$AC$20,4)</f>
        <v>6.4000000000000001E-2</v>
      </c>
      <c r="L89" s="205">
        <f>J89*K89</f>
        <v>106.97856</v>
      </c>
      <c r="M89" s="207">
        <f>VLOOKUP(H89,$Z$10:$AC$20,3)</f>
        <v>5.55</v>
      </c>
      <c r="N89" s="205">
        <f>+L89+M89</f>
        <v>112.52856</v>
      </c>
      <c r="O89" s="207">
        <f>VLOOKUP(H89,$Z$27:$AB$37,3)</f>
        <v>188.7</v>
      </c>
      <c r="P89" s="249">
        <f>IF(N89-O89&gt;0,N89-O89,0)</f>
        <v>0</v>
      </c>
      <c r="Q89" s="249">
        <f>IF(O89-N89&gt;0,O89-N89,0)</f>
        <v>76.17143999999999</v>
      </c>
      <c r="R89" s="31">
        <v>0</v>
      </c>
      <c r="S89" s="31">
        <f>+H89-P89+Q89-R89</f>
        <v>2033.1714400000001</v>
      </c>
      <c r="T89" s="31"/>
      <c r="U89" s="24">
        <f t="shared" si="22"/>
        <v>3914</v>
      </c>
      <c r="W89" s="114">
        <v>2102</v>
      </c>
      <c r="X89" s="116">
        <f t="shared" si="7"/>
        <v>1051</v>
      </c>
    </row>
    <row r="90" spans="1:24" ht="24.95" customHeight="1">
      <c r="A90" s="179"/>
      <c r="B90" s="180"/>
      <c r="C90" s="180"/>
      <c r="D90" s="180"/>
      <c r="E90" s="180"/>
      <c r="F90" s="173"/>
      <c r="G90" s="181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1"/>
      <c r="S90" s="174"/>
      <c r="T90" s="174"/>
      <c r="U90" s="183"/>
      <c r="W90" s="114"/>
      <c r="X90" s="116"/>
    </row>
    <row r="91" spans="1:24" ht="21.95" customHeight="1">
      <c r="A91" s="324" t="s">
        <v>12</v>
      </c>
      <c r="B91" s="326"/>
      <c r="C91" s="326"/>
      <c r="D91" s="326"/>
      <c r="E91" s="326"/>
      <c r="F91" s="326"/>
      <c r="G91" s="326"/>
      <c r="H91" s="326"/>
      <c r="I91" s="326"/>
      <c r="J91" s="326"/>
      <c r="K91" s="326"/>
      <c r="L91" s="326"/>
      <c r="M91" s="326"/>
      <c r="N91" s="326"/>
      <c r="O91" s="326"/>
      <c r="P91" s="326"/>
      <c r="Q91" s="326"/>
      <c r="R91" s="326"/>
      <c r="S91" s="326"/>
      <c r="T91" s="326"/>
      <c r="W91" s="114"/>
      <c r="X91" s="116"/>
    </row>
    <row r="92" spans="1:24" ht="21.95" customHeight="1">
      <c r="A92" s="324" t="s">
        <v>238</v>
      </c>
      <c r="B92" s="324"/>
      <c r="C92" s="324"/>
      <c r="D92" s="324"/>
      <c r="E92" s="324"/>
      <c r="F92" s="324"/>
      <c r="G92" s="324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  <c r="T92" s="324"/>
      <c r="W92" s="114"/>
      <c r="X92" s="116"/>
    </row>
    <row r="93" spans="1:24" ht="21.95" customHeight="1">
      <c r="A93" s="331" t="str">
        <f>A70</f>
        <v>SUELDOS 2DA QUINCENA DEL MES DE AGOSTO DE 2018</v>
      </c>
      <c r="B93" s="329"/>
      <c r="C93" s="329"/>
      <c r="D93" s="329"/>
      <c r="E93" s="329"/>
      <c r="F93" s="329"/>
      <c r="G93" s="329"/>
      <c r="H93" s="329"/>
      <c r="I93" s="329"/>
      <c r="J93" s="329"/>
      <c r="K93" s="329"/>
      <c r="L93" s="329"/>
      <c r="M93" s="329"/>
      <c r="N93" s="329"/>
      <c r="O93" s="329"/>
      <c r="P93" s="329"/>
      <c r="Q93" s="329"/>
      <c r="R93" s="329"/>
      <c r="S93" s="329"/>
      <c r="T93" s="329"/>
      <c r="W93" s="114"/>
      <c r="X93" s="116"/>
    </row>
    <row r="94" spans="1:24" ht="21.95" customHeight="1">
      <c r="A94" s="331" t="s">
        <v>224</v>
      </c>
      <c r="B94" s="331"/>
      <c r="C94" s="331"/>
      <c r="D94" s="331"/>
      <c r="E94" s="331"/>
      <c r="F94" s="331"/>
      <c r="G94" s="331"/>
      <c r="H94" s="331"/>
      <c r="I94" s="331"/>
      <c r="J94" s="331"/>
      <c r="K94" s="331"/>
      <c r="L94" s="331"/>
      <c r="M94" s="331"/>
      <c r="N94" s="331"/>
      <c r="O94" s="331"/>
      <c r="P94" s="331"/>
      <c r="Q94" s="331"/>
      <c r="R94" s="331"/>
      <c r="S94" s="331"/>
      <c r="T94" s="331"/>
      <c r="W94" s="114"/>
      <c r="X94" s="116"/>
    </row>
    <row r="95" spans="1:24" ht="21.95" customHeight="1">
      <c r="A95" s="25"/>
      <c r="B95" s="82"/>
      <c r="C95" s="82"/>
      <c r="D95" s="82"/>
      <c r="E95" s="82"/>
      <c r="F95" s="84" t="s">
        <v>4</v>
      </c>
      <c r="G95" s="169"/>
      <c r="H95" s="219"/>
      <c r="I95" s="315" t="s">
        <v>290</v>
      </c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84"/>
      <c r="W95" s="114"/>
      <c r="X95" s="116"/>
    </row>
    <row r="96" spans="1:24" ht="13.5" customHeight="1">
      <c r="A96" s="27" t="s">
        <v>3</v>
      </c>
      <c r="B96" s="83"/>
      <c r="C96" s="83"/>
      <c r="D96" s="83"/>
      <c r="E96" s="83"/>
      <c r="F96" s="86" t="s">
        <v>5</v>
      </c>
      <c r="G96" s="84" t="s">
        <v>1</v>
      </c>
      <c r="H96" s="84" t="s">
        <v>227</v>
      </c>
      <c r="I96" s="315" t="s">
        <v>270</v>
      </c>
      <c r="J96" s="316"/>
      <c r="K96" s="316"/>
      <c r="L96" s="316"/>
      <c r="M96" s="316"/>
      <c r="N96" s="316"/>
      <c r="O96" s="316"/>
      <c r="P96" s="316"/>
      <c r="Q96" s="317"/>
      <c r="R96" s="85" t="s">
        <v>245</v>
      </c>
      <c r="S96" s="85" t="s">
        <v>230</v>
      </c>
      <c r="T96" s="83" t="s">
        <v>232</v>
      </c>
      <c r="W96" s="114"/>
      <c r="X96" s="116"/>
    </row>
    <row r="97" spans="1:24" ht="21.95" customHeight="1">
      <c r="A97" s="27"/>
      <c r="B97" s="88"/>
      <c r="C97" s="88"/>
      <c r="D97" s="88"/>
      <c r="E97" s="88" t="s">
        <v>10</v>
      </c>
      <c r="F97" s="83"/>
      <c r="G97" s="83" t="s">
        <v>7</v>
      </c>
      <c r="H97" s="83" t="s">
        <v>230</v>
      </c>
      <c r="I97" s="85" t="s">
        <v>272</v>
      </c>
      <c r="J97" s="85" t="s">
        <v>273</v>
      </c>
      <c r="K97" s="85" t="s">
        <v>282</v>
      </c>
      <c r="L97" s="85" t="s">
        <v>274</v>
      </c>
      <c r="M97" s="85" t="s">
        <v>275</v>
      </c>
      <c r="N97" s="85" t="s">
        <v>271</v>
      </c>
      <c r="O97" s="85" t="s">
        <v>283</v>
      </c>
      <c r="P97" s="192" t="s">
        <v>271</v>
      </c>
      <c r="Q97" s="85" t="s">
        <v>286</v>
      </c>
      <c r="R97" s="84" t="s">
        <v>246</v>
      </c>
      <c r="S97" s="84" t="s">
        <v>233</v>
      </c>
      <c r="T97" s="83"/>
      <c r="W97" s="114"/>
      <c r="X97" s="116"/>
    </row>
    <row r="98" spans="1:24" ht="21.95" customHeight="1">
      <c r="A98" s="26"/>
      <c r="B98" s="89" t="s">
        <v>14</v>
      </c>
      <c r="C98" s="89"/>
      <c r="D98" s="89"/>
      <c r="E98" s="89" t="s">
        <v>9</v>
      </c>
      <c r="F98" s="85"/>
      <c r="G98" s="85"/>
      <c r="H98" s="85"/>
      <c r="I98" s="84" t="s">
        <v>277</v>
      </c>
      <c r="J98" s="84" t="s">
        <v>278</v>
      </c>
      <c r="K98" s="84" t="s">
        <v>278</v>
      </c>
      <c r="L98" s="84" t="s">
        <v>279</v>
      </c>
      <c r="M98" s="84" t="s">
        <v>280</v>
      </c>
      <c r="N98" s="84" t="s">
        <v>281</v>
      </c>
      <c r="O98" s="84" t="s">
        <v>284</v>
      </c>
      <c r="P98" s="85" t="s">
        <v>276</v>
      </c>
      <c r="Q98" s="84" t="s">
        <v>285</v>
      </c>
      <c r="R98" s="85"/>
      <c r="S98" s="85"/>
      <c r="T98" s="85"/>
      <c r="W98" s="114"/>
      <c r="X98" s="116"/>
    </row>
    <row r="99" spans="1:24" ht="18" customHeight="1">
      <c r="A99" s="184"/>
      <c r="B99" s="139" t="s">
        <v>53</v>
      </c>
      <c r="C99" s="139"/>
      <c r="D99" s="139"/>
      <c r="E99" s="140"/>
      <c r="F99" s="138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31"/>
      <c r="S99" s="131"/>
      <c r="T99" s="131"/>
      <c r="U99" s="24">
        <f t="shared" ref="U99:U110" si="23">G99*2</f>
        <v>0</v>
      </c>
      <c r="W99" s="114"/>
      <c r="X99" s="116">
        <f t="shared" si="7"/>
        <v>0</v>
      </c>
    </row>
    <row r="100" spans="1:24" ht="24.95" customHeight="1">
      <c r="A100" s="7">
        <v>43</v>
      </c>
      <c r="B100" s="6" t="s">
        <v>162</v>
      </c>
      <c r="C100" s="6"/>
      <c r="D100" s="6"/>
      <c r="E100" s="6" t="s">
        <v>163</v>
      </c>
      <c r="F100" s="7">
        <v>15</v>
      </c>
      <c r="G100" s="31">
        <v>1230.8499999999999</v>
      </c>
      <c r="H100" s="31">
        <f>(G100/15)*F100</f>
        <v>1230.8499999999999</v>
      </c>
      <c r="I100" s="204">
        <f t="shared" ref="I100:I106" si="24">VLOOKUP(H100,$Z$10:$AC$20,1)</f>
        <v>285.45999999999998</v>
      </c>
      <c r="J100" s="205">
        <f t="shared" ref="J100:J106" si="25">+H100-I100</f>
        <v>945.38999999999987</v>
      </c>
      <c r="K100" s="206">
        <f t="shared" ref="K100:K106" si="26">VLOOKUP(H100,$Z$10:$AC$20,4)</f>
        <v>6.4000000000000001E-2</v>
      </c>
      <c r="L100" s="205">
        <f t="shared" ref="L100:L106" si="27">J100*K100</f>
        <v>60.50495999999999</v>
      </c>
      <c r="M100" s="207">
        <f t="shared" ref="M100:M106" si="28">VLOOKUP(H100,$Z$10:$AC$20,3)</f>
        <v>5.55</v>
      </c>
      <c r="N100" s="205">
        <f t="shared" ref="N100:N106" si="29">+L100+M100</f>
        <v>66.054959999999994</v>
      </c>
      <c r="O100" s="207">
        <f t="shared" ref="O100:O106" si="30">VLOOKUP(H100,$Z$27:$AB$37,3)</f>
        <v>200.7</v>
      </c>
      <c r="P100" s="251">
        <f t="shared" ref="P100:P106" si="31">IF(N100-O100&gt;0,N100-O100,0)</f>
        <v>0</v>
      </c>
      <c r="Q100" s="251">
        <f t="shared" ref="Q100:Q106" si="32">IF(O100-N100&gt;0,O100-N100,0)</f>
        <v>134.64503999999999</v>
      </c>
      <c r="R100" s="31">
        <v>0</v>
      </c>
      <c r="S100" s="31">
        <f t="shared" ref="S100:S106" si="33">+H100-P100+Q100-R100</f>
        <v>1365.4950399999998</v>
      </c>
      <c r="T100" s="31"/>
      <c r="U100" s="24">
        <f t="shared" si="23"/>
        <v>2461.6999999999998</v>
      </c>
      <c r="W100" s="114">
        <v>2390</v>
      </c>
      <c r="X100" s="116">
        <f t="shared" si="7"/>
        <v>1195</v>
      </c>
    </row>
    <row r="101" spans="1:24" ht="24.95" customHeight="1">
      <c r="A101" s="7">
        <v>44</v>
      </c>
      <c r="B101" s="6" t="s">
        <v>164</v>
      </c>
      <c r="C101" s="6"/>
      <c r="D101" s="6"/>
      <c r="E101" s="6" t="s">
        <v>106</v>
      </c>
      <c r="F101" s="7">
        <v>15</v>
      </c>
      <c r="G101" s="31">
        <v>1230.8499999999999</v>
      </c>
      <c r="H101" s="31">
        <f t="shared" ref="H101:H110" si="34">(G101/15)*F101</f>
        <v>1230.8499999999999</v>
      </c>
      <c r="I101" s="204">
        <f t="shared" si="24"/>
        <v>285.45999999999998</v>
      </c>
      <c r="J101" s="205">
        <f t="shared" si="25"/>
        <v>945.38999999999987</v>
      </c>
      <c r="K101" s="206">
        <f t="shared" si="26"/>
        <v>6.4000000000000001E-2</v>
      </c>
      <c r="L101" s="205">
        <f t="shared" si="27"/>
        <v>60.50495999999999</v>
      </c>
      <c r="M101" s="207">
        <f t="shared" si="28"/>
        <v>5.55</v>
      </c>
      <c r="N101" s="205">
        <f t="shared" si="29"/>
        <v>66.054959999999994</v>
      </c>
      <c r="O101" s="207">
        <f t="shared" si="30"/>
        <v>200.7</v>
      </c>
      <c r="P101" s="249">
        <f t="shared" si="31"/>
        <v>0</v>
      </c>
      <c r="Q101" s="249">
        <f t="shared" si="32"/>
        <v>134.64503999999999</v>
      </c>
      <c r="R101" s="31">
        <v>0</v>
      </c>
      <c r="S101" s="31">
        <f t="shared" si="33"/>
        <v>1365.4950399999998</v>
      </c>
      <c r="T101" s="31"/>
      <c r="U101" s="24">
        <f t="shared" si="23"/>
        <v>2461.6999999999998</v>
      </c>
      <c r="W101" s="114">
        <v>2390</v>
      </c>
      <c r="X101" s="116">
        <f t="shared" si="7"/>
        <v>1195</v>
      </c>
    </row>
    <row r="102" spans="1:24" ht="24.95" customHeight="1">
      <c r="A102" s="7">
        <v>45</v>
      </c>
      <c r="B102" s="6" t="s">
        <v>165</v>
      </c>
      <c r="C102" s="6"/>
      <c r="D102" s="6"/>
      <c r="E102" s="6" t="s">
        <v>113</v>
      </c>
      <c r="F102" s="7">
        <v>15</v>
      </c>
      <c r="G102" s="31">
        <v>1230.8499999999999</v>
      </c>
      <c r="H102" s="31">
        <f t="shared" si="34"/>
        <v>1230.8499999999999</v>
      </c>
      <c r="I102" s="204">
        <f t="shared" si="24"/>
        <v>285.45999999999998</v>
      </c>
      <c r="J102" s="205">
        <f t="shared" si="25"/>
        <v>945.38999999999987</v>
      </c>
      <c r="K102" s="206">
        <f t="shared" si="26"/>
        <v>6.4000000000000001E-2</v>
      </c>
      <c r="L102" s="205">
        <f t="shared" si="27"/>
        <v>60.50495999999999</v>
      </c>
      <c r="M102" s="207">
        <f t="shared" si="28"/>
        <v>5.55</v>
      </c>
      <c r="N102" s="205">
        <f t="shared" si="29"/>
        <v>66.054959999999994</v>
      </c>
      <c r="O102" s="207">
        <f t="shared" si="30"/>
        <v>200.7</v>
      </c>
      <c r="P102" s="249">
        <f t="shared" si="31"/>
        <v>0</v>
      </c>
      <c r="Q102" s="249">
        <f t="shared" si="32"/>
        <v>134.64503999999999</v>
      </c>
      <c r="R102" s="31">
        <v>0</v>
      </c>
      <c r="S102" s="31">
        <f t="shared" si="33"/>
        <v>1365.4950399999998</v>
      </c>
      <c r="T102" s="31"/>
      <c r="U102" s="24">
        <f t="shared" si="23"/>
        <v>2461.6999999999998</v>
      </c>
      <c r="W102" s="114">
        <v>2390</v>
      </c>
      <c r="X102" s="116">
        <f t="shared" si="7"/>
        <v>1195</v>
      </c>
    </row>
    <row r="103" spans="1:24" ht="24.95" customHeight="1">
      <c r="A103" s="7">
        <v>46</v>
      </c>
      <c r="B103" s="6" t="s">
        <v>191</v>
      </c>
      <c r="C103" s="6"/>
      <c r="D103" s="6"/>
      <c r="E103" s="6" t="s">
        <v>114</v>
      </c>
      <c r="F103" s="7">
        <v>15</v>
      </c>
      <c r="G103" s="31">
        <v>1230.8499999999999</v>
      </c>
      <c r="H103" s="31">
        <f t="shared" si="34"/>
        <v>1230.8499999999999</v>
      </c>
      <c r="I103" s="204">
        <f t="shared" si="24"/>
        <v>285.45999999999998</v>
      </c>
      <c r="J103" s="205">
        <f t="shared" si="25"/>
        <v>945.38999999999987</v>
      </c>
      <c r="K103" s="206">
        <f t="shared" si="26"/>
        <v>6.4000000000000001E-2</v>
      </c>
      <c r="L103" s="205">
        <f t="shared" si="27"/>
        <v>60.50495999999999</v>
      </c>
      <c r="M103" s="207">
        <f t="shared" si="28"/>
        <v>5.55</v>
      </c>
      <c r="N103" s="205">
        <f t="shared" si="29"/>
        <v>66.054959999999994</v>
      </c>
      <c r="O103" s="207">
        <f t="shared" si="30"/>
        <v>200.7</v>
      </c>
      <c r="P103" s="249">
        <f t="shared" si="31"/>
        <v>0</v>
      </c>
      <c r="Q103" s="249">
        <f t="shared" si="32"/>
        <v>134.64503999999999</v>
      </c>
      <c r="R103" s="31">
        <v>0</v>
      </c>
      <c r="S103" s="31">
        <f t="shared" si="33"/>
        <v>1365.4950399999998</v>
      </c>
      <c r="T103" s="31"/>
      <c r="U103" s="24">
        <f t="shared" si="23"/>
        <v>2461.6999999999998</v>
      </c>
      <c r="W103" s="114">
        <v>2390</v>
      </c>
      <c r="X103" s="116">
        <f t="shared" ref="X103:X110" si="35">W103/2</f>
        <v>1195</v>
      </c>
    </row>
    <row r="104" spans="1:24" ht="24.95" customHeight="1">
      <c r="A104" s="7">
        <v>47</v>
      </c>
      <c r="B104" s="6" t="s">
        <v>254</v>
      </c>
      <c r="C104" s="6"/>
      <c r="D104" s="6"/>
      <c r="E104" s="6" t="s">
        <v>166</v>
      </c>
      <c r="F104" s="7">
        <v>15</v>
      </c>
      <c r="G104" s="31">
        <v>1230.8499999999999</v>
      </c>
      <c r="H104" s="31">
        <f t="shared" si="34"/>
        <v>1230.8499999999999</v>
      </c>
      <c r="I104" s="204">
        <f t="shared" si="24"/>
        <v>285.45999999999998</v>
      </c>
      <c r="J104" s="205">
        <f t="shared" si="25"/>
        <v>945.38999999999987</v>
      </c>
      <c r="K104" s="206">
        <f t="shared" si="26"/>
        <v>6.4000000000000001E-2</v>
      </c>
      <c r="L104" s="205">
        <f t="shared" si="27"/>
        <v>60.50495999999999</v>
      </c>
      <c r="M104" s="207">
        <f t="shared" si="28"/>
        <v>5.55</v>
      </c>
      <c r="N104" s="205">
        <f t="shared" si="29"/>
        <v>66.054959999999994</v>
      </c>
      <c r="O104" s="207">
        <f t="shared" si="30"/>
        <v>200.7</v>
      </c>
      <c r="P104" s="249">
        <f t="shared" si="31"/>
        <v>0</v>
      </c>
      <c r="Q104" s="249">
        <f t="shared" si="32"/>
        <v>134.64503999999999</v>
      </c>
      <c r="R104" s="31">
        <v>0</v>
      </c>
      <c r="S104" s="31">
        <f t="shared" si="33"/>
        <v>1365.4950399999998</v>
      </c>
      <c r="T104" s="31"/>
      <c r="U104" s="24">
        <f t="shared" si="23"/>
        <v>2461.6999999999998</v>
      </c>
      <c r="W104" s="114">
        <v>2390</v>
      </c>
      <c r="X104" s="116">
        <f t="shared" si="35"/>
        <v>1195</v>
      </c>
    </row>
    <row r="105" spans="1:24" ht="24.95" customHeight="1">
      <c r="A105" s="7">
        <v>48</v>
      </c>
      <c r="B105" s="6" t="s">
        <v>263</v>
      </c>
      <c r="C105" s="6"/>
      <c r="D105" s="6"/>
      <c r="E105" s="6" t="s">
        <v>167</v>
      </c>
      <c r="F105" s="7">
        <v>15</v>
      </c>
      <c r="G105" s="31">
        <v>1230.8499999999999</v>
      </c>
      <c r="H105" s="31">
        <f t="shared" si="34"/>
        <v>1230.8499999999999</v>
      </c>
      <c r="I105" s="204">
        <f t="shared" si="24"/>
        <v>285.45999999999998</v>
      </c>
      <c r="J105" s="205">
        <f>+H105-I105</f>
        <v>945.38999999999987</v>
      </c>
      <c r="K105" s="206">
        <f t="shared" si="26"/>
        <v>6.4000000000000001E-2</v>
      </c>
      <c r="L105" s="205">
        <f>J105*K105</f>
        <v>60.50495999999999</v>
      </c>
      <c r="M105" s="207">
        <f t="shared" si="28"/>
        <v>5.55</v>
      </c>
      <c r="N105" s="205">
        <f>+L105+M105</f>
        <v>66.054959999999994</v>
      </c>
      <c r="O105" s="207">
        <f t="shared" si="30"/>
        <v>200.7</v>
      </c>
      <c r="P105" s="249">
        <f>IF(N105-O105&gt;0,N105-O105,0)</f>
        <v>0</v>
      </c>
      <c r="Q105" s="249">
        <f>IF(O105-N105&gt;0,O105-N105,0)</f>
        <v>134.64503999999999</v>
      </c>
      <c r="R105" s="31">
        <v>0</v>
      </c>
      <c r="S105" s="31">
        <f t="shared" si="33"/>
        <v>1365.4950399999998</v>
      </c>
      <c r="T105" s="31"/>
      <c r="U105" s="24">
        <f t="shared" si="23"/>
        <v>2461.6999999999998</v>
      </c>
      <c r="W105" s="114">
        <v>2390</v>
      </c>
      <c r="X105" s="116">
        <f t="shared" si="35"/>
        <v>1195</v>
      </c>
    </row>
    <row r="106" spans="1:24" ht="27.6" customHeight="1">
      <c r="A106" s="7">
        <v>49</v>
      </c>
      <c r="B106" s="6" t="s">
        <v>197</v>
      </c>
      <c r="C106" s="6"/>
      <c r="D106" s="6"/>
      <c r="E106" s="99" t="s">
        <v>168</v>
      </c>
      <c r="F106" s="7">
        <v>15</v>
      </c>
      <c r="G106" s="31">
        <v>1230.8499999999999</v>
      </c>
      <c r="H106" s="31">
        <f t="shared" si="34"/>
        <v>1230.8499999999999</v>
      </c>
      <c r="I106" s="204">
        <f t="shared" si="24"/>
        <v>285.45999999999998</v>
      </c>
      <c r="J106" s="205">
        <f t="shared" si="25"/>
        <v>945.38999999999987</v>
      </c>
      <c r="K106" s="206">
        <f t="shared" si="26"/>
        <v>6.4000000000000001E-2</v>
      </c>
      <c r="L106" s="205">
        <f t="shared" si="27"/>
        <v>60.50495999999999</v>
      </c>
      <c r="M106" s="207">
        <f t="shared" si="28"/>
        <v>5.55</v>
      </c>
      <c r="N106" s="205">
        <f t="shared" si="29"/>
        <v>66.054959999999994</v>
      </c>
      <c r="O106" s="207">
        <f t="shared" si="30"/>
        <v>200.7</v>
      </c>
      <c r="P106" s="249">
        <f t="shared" si="31"/>
        <v>0</v>
      </c>
      <c r="Q106" s="249">
        <f t="shared" si="32"/>
        <v>134.64503999999999</v>
      </c>
      <c r="R106" s="31">
        <v>0</v>
      </c>
      <c r="S106" s="31">
        <f t="shared" si="33"/>
        <v>1365.4950399999998</v>
      </c>
      <c r="T106" s="31"/>
      <c r="U106" s="24">
        <f t="shared" si="23"/>
        <v>2461.6999999999998</v>
      </c>
      <c r="W106" s="114">
        <v>2390</v>
      </c>
      <c r="X106" s="116">
        <f t="shared" si="35"/>
        <v>1195</v>
      </c>
    </row>
    <row r="107" spans="1:24" ht="24.95" customHeight="1">
      <c r="A107" s="7"/>
      <c r="B107" s="12" t="s">
        <v>54</v>
      </c>
      <c r="C107" s="12"/>
      <c r="D107" s="12"/>
      <c r="E107" s="6"/>
      <c r="F107" s="7"/>
      <c r="G107" s="31"/>
      <c r="H107" s="31"/>
      <c r="I107" s="31"/>
      <c r="J107" s="31"/>
      <c r="K107" s="31"/>
      <c r="L107" s="31"/>
      <c r="M107" s="31"/>
      <c r="N107" s="31"/>
      <c r="O107" s="31"/>
      <c r="P107" s="131"/>
      <c r="Q107" s="131"/>
      <c r="R107" s="31"/>
      <c r="S107" s="31"/>
      <c r="T107" s="31"/>
      <c r="U107" s="24">
        <f t="shared" si="23"/>
        <v>0</v>
      </c>
      <c r="W107" s="114"/>
      <c r="X107" s="116">
        <f t="shared" si="35"/>
        <v>0</v>
      </c>
    </row>
    <row r="108" spans="1:24" ht="24.95" customHeight="1">
      <c r="A108" s="7">
        <v>50</v>
      </c>
      <c r="B108" s="6" t="s">
        <v>104</v>
      </c>
      <c r="C108" s="6"/>
      <c r="D108" s="6"/>
      <c r="E108" s="6" t="s">
        <v>55</v>
      </c>
      <c r="F108" s="7">
        <v>15</v>
      </c>
      <c r="G108" s="31">
        <v>2982.88</v>
      </c>
      <c r="H108" s="31">
        <f t="shared" si="34"/>
        <v>2982.88</v>
      </c>
      <c r="I108" s="204">
        <f>VLOOKUP(H108,$Z$10:$AC$20,1)</f>
        <v>2422.81</v>
      </c>
      <c r="J108" s="205">
        <f>+H108-I108</f>
        <v>560.07000000000016</v>
      </c>
      <c r="K108" s="206">
        <f>VLOOKUP(H108,$Z$10:$AC$20,4)</f>
        <v>0.10879999999999999</v>
      </c>
      <c r="L108" s="205">
        <f>J108*K108</f>
        <v>60.935616000000017</v>
      </c>
      <c r="M108" s="207">
        <f>VLOOKUP(H108,$Z$10:$AC$20,3)</f>
        <v>142.19999999999999</v>
      </c>
      <c r="N108" s="205">
        <f>+L108+M108</f>
        <v>203.135616</v>
      </c>
      <c r="O108" s="207">
        <f>VLOOKUP(H108,$Z$27:$AB$37,3)</f>
        <v>145.35</v>
      </c>
      <c r="P108" s="249">
        <f>IF(N108-O108&gt;0,N108-O108,0)</f>
        <v>57.785616000000005</v>
      </c>
      <c r="Q108" s="249">
        <f>IF(O108-N108&gt;0,O108-N108,0)</f>
        <v>0</v>
      </c>
      <c r="R108" s="31">
        <v>0</v>
      </c>
      <c r="S108" s="31">
        <f>+H108-P108+Q108-R108</f>
        <v>2925.094384</v>
      </c>
      <c r="T108" s="31"/>
      <c r="U108" s="24">
        <f t="shared" si="23"/>
        <v>5965.76</v>
      </c>
      <c r="W108" s="114">
        <v>5792</v>
      </c>
      <c r="X108" s="116">
        <f t="shared" si="35"/>
        <v>2896</v>
      </c>
    </row>
    <row r="109" spans="1:24" ht="24.95" customHeight="1">
      <c r="A109" s="7">
        <v>51</v>
      </c>
      <c r="B109" s="6" t="s">
        <v>56</v>
      </c>
      <c r="C109" s="6"/>
      <c r="D109" s="6"/>
      <c r="E109" s="6" t="s">
        <v>57</v>
      </c>
      <c r="F109" s="7">
        <v>15</v>
      </c>
      <c r="G109" s="31">
        <v>3678.13</v>
      </c>
      <c r="H109" s="31">
        <f t="shared" si="34"/>
        <v>3678.13</v>
      </c>
      <c r="I109" s="204">
        <f>VLOOKUP(H109,$Z$10:$AC$20,1)</f>
        <v>2422.81</v>
      </c>
      <c r="J109" s="205">
        <f>+H109-I109</f>
        <v>1255.3200000000002</v>
      </c>
      <c r="K109" s="206">
        <f>VLOOKUP(H109,$Z$10:$AC$20,4)</f>
        <v>0.10879999999999999</v>
      </c>
      <c r="L109" s="205">
        <f>J109*K109</f>
        <v>136.57881600000002</v>
      </c>
      <c r="M109" s="207">
        <f>VLOOKUP(H109,$Z$10:$AC$20,3)</f>
        <v>142.19999999999999</v>
      </c>
      <c r="N109" s="205">
        <f>+L109+M109</f>
        <v>278.77881600000001</v>
      </c>
      <c r="O109" s="207">
        <f>VLOOKUP(H109,$Z$27:$AB$37,3)</f>
        <v>0</v>
      </c>
      <c r="P109" s="249">
        <f>IF(N109-O109&gt;0,N109-O109,0)</f>
        <v>278.77881600000001</v>
      </c>
      <c r="Q109" s="249">
        <f>IF(O109-N109&gt;0,O109-N109,0)</f>
        <v>0</v>
      </c>
      <c r="R109" s="31">
        <v>0</v>
      </c>
      <c r="S109" s="31">
        <f>+H109-P109+Q109-R109</f>
        <v>3399.3511840000001</v>
      </c>
      <c r="T109" s="31"/>
      <c r="U109" s="24">
        <f t="shared" si="23"/>
        <v>7356.26</v>
      </c>
      <c r="W109" s="114">
        <v>7142</v>
      </c>
      <c r="X109" s="116">
        <f t="shared" si="35"/>
        <v>3571</v>
      </c>
    </row>
    <row r="110" spans="1:24" ht="24.95" customHeight="1">
      <c r="A110" s="7">
        <v>52</v>
      </c>
      <c r="B110" s="6" t="s">
        <v>58</v>
      </c>
      <c r="C110" s="6"/>
      <c r="D110" s="6"/>
      <c r="E110" s="6" t="s">
        <v>59</v>
      </c>
      <c r="F110" s="7">
        <v>15</v>
      </c>
      <c r="G110" s="31">
        <v>2982.88</v>
      </c>
      <c r="H110" s="31">
        <f t="shared" si="34"/>
        <v>2982.88</v>
      </c>
      <c r="I110" s="204">
        <f>VLOOKUP(H110,$Z$10:$AC$20,1)</f>
        <v>2422.81</v>
      </c>
      <c r="J110" s="205">
        <f>+H110-I110</f>
        <v>560.07000000000016</v>
      </c>
      <c r="K110" s="206">
        <f>VLOOKUP(H110,$Z$10:$AC$20,4)</f>
        <v>0.10879999999999999</v>
      </c>
      <c r="L110" s="205">
        <f>J110*K110</f>
        <v>60.935616000000017</v>
      </c>
      <c r="M110" s="207">
        <f>VLOOKUP(H110,$Z$10:$AC$20,3)</f>
        <v>142.19999999999999</v>
      </c>
      <c r="N110" s="205">
        <f>+L110+M110</f>
        <v>203.135616</v>
      </c>
      <c r="O110" s="207">
        <f>VLOOKUP(H110,$Z$27:$AB$37,3)</f>
        <v>145.35</v>
      </c>
      <c r="P110" s="249">
        <f>IF(N110-O110&gt;0,N110-O110,0)</f>
        <v>57.785616000000005</v>
      </c>
      <c r="Q110" s="249">
        <f>IF(O110-N110&gt;0,O110-N110,0)</f>
        <v>0</v>
      </c>
      <c r="R110" s="31">
        <v>0</v>
      </c>
      <c r="S110" s="31">
        <f>+H110-P110+Q110-R110</f>
        <v>2925.094384</v>
      </c>
      <c r="T110" s="31"/>
      <c r="U110" s="24">
        <f t="shared" si="23"/>
        <v>5965.76</v>
      </c>
      <c r="W110" s="114">
        <v>5792</v>
      </c>
      <c r="X110" s="116">
        <f t="shared" si="35"/>
        <v>2896</v>
      </c>
    </row>
    <row r="111" spans="1:24" ht="24.95" customHeight="1">
      <c r="A111" s="160"/>
      <c r="B111" s="6"/>
      <c r="C111" s="6"/>
      <c r="D111" s="6"/>
      <c r="E111" s="6"/>
      <c r="F111" s="7"/>
      <c r="G111" s="31"/>
      <c r="H111" s="31"/>
      <c r="I111" s="31"/>
      <c r="J111" s="31"/>
      <c r="K111" s="31"/>
      <c r="L111" s="31"/>
      <c r="M111" s="31"/>
      <c r="N111" s="31"/>
      <c r="O111" s="31"/>
      <c r="P111" s="131"/>
      <c r="Q111" s="131"/>
      <c r="R111" s="31"/>
      <c r="S111" s="31"/>
      <c r="T111" s="31"/>
      <c r="W111" s="114"/>
      <c r="X111" s="116"/>
    </row>
    <row r="112" spans="1:24">
      <c r="A112" s="35"/>
      <c r="B112" s="35"/>
      <c r="C112" s="35"/>
      <c r="D112" s="35"/>
      <c r="E112" s="35"/>
      <c r="F112" s="168"/>
      <c r="G112" s="40"/>
      <c r="H112" s="41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</row>
    <row r="113" spans="1:24" ht="15.75" thickBot="1">
      <c r="A113" s="318" t="s">
        <v>6</v>
      </c>
      <c r="B113" s="319"/>
      <c r="C113" s="319"/>
      <c r="D113" s="319"/>
      <c r="E113" s="319"/>
      <c r="F113" s="319"/>
      <c r="G113" s="43">
        <f>SUM(G12:G112)</f>
        <v>192615.61000000004</v>
      </c>
      <c r="H113" s="43">
        <f>SUM(H12:H112)</f>
        <v>192615.61000000004</v>
      </c>
      <c r="I113" s="43">
        <f t="shared" ref="I113:Q113" si="36">SUM(I12:I112)</f>
        <v>138713.47</v>
      </c>
      <c r="J113" s="43">
        <f t="shared" si="36"/>
        <v>53902.140000000014</v>
      </c>
      <c r="K113" s="43">
        <f t="shared" si="36"/>
        <v>5.8351999999999977</v>
      </c>
      <c r="L113" s="43">
        <f t="shared" si="36"/>
        <v>5752.3510799999995</v>
      </c>
      <c r="M113" s="43">
        <f t="shared" si="36"/>
        <v>12811.800000000005</v>
      </c>
      <c r="N113" s="43">
        <f t="shared" si="36"/>
        <v>18564.151080000011</v>
      </c>
      <c r="O113" s="43">
        <f t="shared" si="36"/>
        <v>6041.699999999998</v>
      </c>
      <c r="P113" s="43">
        <f t="shared" si="36"/>
        <v>13913.970760000004</v>
      </c>
      <c r="Q113" s="43">
        <f t="shared" si="36"/>
        <v>1391.5196799999999</v>
      </c>
      <c r="R113" s="44">
        <f>SUM(R12:R112)</f>
        <v>0</v>
      </c>
      <c r="S113" s="44">
        <f>SUM(S12:S112)</f>
        <v>180093.15892000005</v>
      </c>
      <c r="T113" s="44"/>
      <c r="W113" s="116">
        <f>SUM(W12:W110)</f>
        <v>347906</v>
      </c>
      <c r="X113" s="116">
        <f>SUM(X12:X110)</f>
        <v>173953</v>
      </c>
    </row>
    <row r="114" spans="1:24" ht="13.5" thickTop="1"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</row>
    <row r="115" spans="1:24">
      <c r="Q115" s="167"/>
    </row>
    <row r="116" spans="1:24">
      <c r="Q116" s="167"/>
    </row>
    <row r="117" spans="1:24">
      <c r="B117" s="24" t="s">
        <v>170</v>
      </c>
      <c r="S117" s="120"/>
      <c r="T117" s="120"/>
    </row>
    <row r="118" spans="1:24">
      <c r="B118" s="45" t="s">
        <v>159</v>
      </c>
      <c r="C118" s="45"/>
      <c r="D118" s="45"/>
      <c r="S118" s="333" t="s">
        <v>289</v>
      </c>
      <c r="T118" s="333"/>
    </row>
    <row r="119" spans="1:24">
      <c r="B119" s="46" t="s">
        <v>11</v>
      </c>
      <c r="C119" s="46"/>
      <c r="D119" s="46"/>
      <c r="E119" s="46"/>
      <c r="S119" s="314" t="s">
        <v>235</v>
      </c>
      <c r="T119" s="314"/>
    </row>
    <row r="120" spans="1:24">
      <c r="R120" s="114"/>
    </row>
    <row r="121" spans="1:24">
      <c r="R121" s="114"/>
    </row>
    <row r="122" spans="1:24">
      <c r="R122" s="114"/>
    </row>
    <row r="123" spans="1:24">
      <c r="R123" s="114"/>
    </row>
    <row r="124" spans="1:24">
      <c r="B124" s="48"/>
      <c r="C124" s="48"/>
      <c r="D124" s="48"/>
      <c r="G124" s="45"/>
    </row>
    <row r="125" spans="1:24">
      <c r="B125" s="49"/>
      <c r="C125" s="49"/>
      <c r="D125" s="49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291"/>
      <c r="T125" s="46"/>
    </row>
    <row r="130" spans="2:7">
      <c r="B130" s="45"/>
      <c r="C130" s="45"/>
      <c r="D130" s="45"/>
      <c r="G130" s="45"/>
    </row>
    <row r="145" spans="2:20">
      <c r="B145" s="45"/>
      <c r="C145" s="45"/>
      <c r="D145" s="45"/>
      <c r="G145" s="45"/>
    </row>
    <row r="146" spans="2:20"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</row>
  </sheetData>
  <sheetProtection selectLockedCells="1" selectUnlockedCells="1"/>
  <mergeCells count="31">
    <mergeCell ref="A92:T92"/>
    <mergeCell ref="A71:T71"/>
    <mergeCell ref="S119:T119"/>
    <mergeCell ref="R41:S41"/>
    <mergeCell ref="A68:T68"/>
    <mergeCell ref="A93:T93"/>
    <mergeCell ref="I95:Q95"/>
    <mergeCell ref="A91:T91"/>
    <mergeCell ref="S118:T118"/>
    <mergeCell ref="A70:T70"/>
    <mergeCell ref="A113:F113"/>
    <mergeCell ref="I96:Q96"/>
    <mergeCell ref="A94:T94"/>
    <mergeCell ref="I73:Q73"/>
    <mergeCell ref="I72:Q72"/>
    <mergeCell ref="R95:S95"/>
    <mergeCell ref="R72:S72"/>
    <mergeCell ref="A69:T69"/>
    <mergeCell ref="A38:T38"/>
    <mergeCell ref="I42:Q42"/>
    <mergeCell ref="I8:Q8"/>
    <mergeCell ref="A40:T40"/>
    <mergeCell ref="A4:T4"/>
    <mergeCell ref="I41:Q41"/>
    <mergeCell ref="A37:T37"/>
    <mergeCell ref="A3:T3"/>
    <mergeCell ref="A5:T5"/>
    <mergeCell ref="R7:S7"/>
    <mergeCell ref="A6:T6"/>
    <mergeCell ref="A39:T39"/>
    <mergeCell ref="I7:Q7"/>
  </mergeCells>
  <phoneticPr fontId="0" type="noConversion"/>
  <pageMargins left="0.51181102362204722" right="0" top="0" bottom="0" header="0.11811023622047245" footer="0.23622047244094491"/>
  <pageSetup scale="78" fitToHeight="0" orientation="landscape" r:id="rId1"/>
  <ignoredErrors>
    <ignoredError sqref="I12:Q12 I13:Q27 I45:Q51 Q77:Q89 P77:P89 I76:P76 I77:O89 P107:Q110 P106:Q106 P100:Q104 I105:Q105 I100:O104 I106:O106 I52:Q56 I34:Q35 I32:P32 I58:Q67 P57:Q57 I29:Q30 I28:P28 I31:O31 Q32 G33:Q33" unlockedFormula="1"/>
    <ignoredError sqref="S14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IG98"/>
  <sheetViews>
    <sheetView topLeftCell="A85" zoomScale="90" zoomScaleNormal="90" workbookViewId="0">
      <selection activeCell="D21" sqref="D21"/>
    </sheetView>
  </sheetViews>
  <sheetFormatPr baseColWidth="10" defaultRowHeight="12.75"/>
  <cols>
    <col min="1" max="1" width="4.5703125" style="1" customWidth="1"/>
    <col min="2" max="2" width="37.42578125" style="1" customWidth="1"/>
    <col min="3" max="3" width="24.42578125" style="1" customWidth="1"/>
    <col min="4" max="4" width="5.85546875" style="1" customWidth="1"/>
    <col min="5" max="5" width="11" style="1" customWidth="1"/>
    <col min="6" max="6" width="10.5703125" style="1" customWidth="1"/>
    <col min="7" max="13" width="10.5703125" style="1" hidden="1" customWidth="1"/>
    <col min="14" max="14" width="10.140625" style="1" customWidth="1"/>
    <col min="15" max="15" width="10" style="1" customWidth="1"/>
    <col min="16" max="16" width="8.28515625" style="1" hidden="1" customWidth="1"/>
    <col min="17" max="17" width="11.85546875" style="1" customWidth="1"/>
    <col min="18" max="18" width="33.85546875" style="1" customWidth="1"/>
    <col min="19" max="19" width="11.42578125" style="298"/>
    <col min="20" max="23" width="11.42578125" style="1" hidden="1" customWidth="1"/>
    <col min="24" max="16384" width="11.42578125" style="1"/>
  </cols>
  <sheetData>
    <row r="1" spans="1:2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23" ht="18" customHeight="1">
      <c r="A2" s="343" t="s">
        <v>12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5"/>
    </row>
    <row r="3" spans="1:23" ht="18" customHeight="1">
      <c r="A3" s="341" t="s">
        <v>238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42"/>
    </row>
    <row r="4" spans="1:23" ht="18" customHeight="1">
      <c r="A4" s="346" t="s">
        <v>314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7"/>
    </row>
    <row r="5" spans="1:23" ht="18" customHeight="1" thickBot="1">
      <c r="A5" s="348" t="s">
        <v>228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50"/>
    </row>
    <row r="6" spans="1:23" ht="14.1" customHeight="1" thickBot="1">
      <c r="A6" s="170"/>
      <c r="B6" s="113"/>
      <c r="C6" s="170"/>
      <c r="D6" s="105" t="s">
        <v>4</v>
      </c>
      <c r="E6" s="220" t="s">
        <v>0</v>
      </c>
      <c r="F6" s="221"/>
      <c r="G6" s="334" t="s">
        <v>290</v>
      </c>
      <c r="H6" s="335"/>
      <c r="I6" s="335"/>
      <c r="J6" s="335"/>
      <c r="K6" s="335"/>
      <c r="L6" s="335"/>
      <c r="M6" s="335"/>
      <c r="N6" s="335"/>
      <c r="O6" s="335"/>
      <c r="P6" s="108"/>
      <c r="Q6" s="105"/>
      <c r="R6" s="106"/>
      <c r="T6" s="208" t="s">
        <v>268</v>
      </c>
      <c r="U6" s="208"/>
      <c r="V6" s="209"/>
      <c r="W6" s="193"/>
    </row>
    <row r="7" spans="1:23" ht="14.1" customHeight="1" thickBot="1">
      <c r="A7" s="106" t="s">
        <v>3</v>
      </c>
      <c r="B7" s="106"/>
      <c r="C7" s="105"/>
      <c r="D7" s="110" t="s">
        <v>5</v>
      </c>
      <c r="E7" s="107" t="s">
        <v>1</v>
      </c>
      <c r="F7" s="107" t="s">
        <v>227</v>
      </c>
      <c r="G7" s="334" t="s">
        <v>270</v>
      </c>
      <c r="H7" s="335"/>
      <c r="I7" s="335"/>
      <c r="J7" s="335"/>
      <c r="K7" s="335"/>
      <c r="L7" s="335"/>
      <c r="M7" s="335"/>
      <c r="N7" s="335"/>
      <c r="O7" s="336"/>
      <c r="P7" s="105" t="s">
        <v>244</v>
      </c>
      <c r="Q7" s="105" t="s">
        <v>230</v>
      </c>
      <c r="R7" s="109"/>
      <c r="T7" s="193"/>
      <c r="U7" s="193"/>
      <c r="V7" s="193"/>
      <c r="W7" s="193"/>
    </row>
    <row r="8" spans="1:23" ht="14.1" customHeight="1" thickBot="1">
      <c r="A8" s="109"/>
      <c r="B8" s="111"/>
      <c r="C8" s="171" t="s">
        <v>10</v>
      </c>
      <c r="D8" s="105"/>
      <c r="E8" s="105" t="s">
        <v>7</v>
      </c>
      <c r="F8" s="105" t="s">
        <v>230</v>
      </c>
      <c r="G8" s="222" t="s">
        <v>272</v>
      </c>
      <c r="H8" s="222" t="s">
        <v>273</v>
      </c>
      <c r="I8" s="222" t="s">
        <v>282</v>
      </c>
      <c r="J8" s="222" t="s">
        <v>274</v>
      </c>
      <c r="K8" s="222" t="s">
        <v>275</v>
      </c>
      <c r="L8" s="222" t="s">
        <v>271</v>
      </c>
      <c r="M8" s="222" t="s">
        <v>283</v>
      </c>
      <c r="N8" s="223" t="s">
        <v>271</v>
      </c>
      <c r="O8" s="222" t="s">
        <v>286</v>
      </c>
      <c r="P8" s="105" t="s">
        <v>246</v>
      </c>
      <c r="Q8" s="105" t="s">
        <v>233</v>
      </c>
      <c r="R8" s="107" t="s">
        <v>236</v>
      </c>
      <c r="T8" s="210" t="s">
        <v>264</v>
      </c>
      <c r="U8" s="211" t="s">
        <v>265</v>
      </c>
      <c r="V8" s="211" t="s">
        <v>266</v>
      </c>
      <c r="W8" s="212" t="s">
        <v>267</v>
      </c>
    </row>
    <row r="9" spans="1:23" ht="19.5" customHeight="1" thickTop="1">
      <c r="A9" s="105"/>
      <c r="B9" s="111" t="s">
        <v>89</v>
      </c>
      <c r="C9" s="111" t="s">
        <v>9</v>
      </c>
      <c r="D9" s="107"/>
      <c r="E9" s="107"/>
      <c r="F9" s="107"/>
      <c r="G9" s="224" t="s">
        <v>277</v>
      </c>
      <c r="H9" s="224" t="s">
        <v>278</v>
      </c>
      <c r="I9" s="224" t="s">
        <v>278</v>
      </c>
      <c r="J9" s="224" t="s">
        <v>279</v>
      </c>
      <c r="K9" s="224" t="s">
        <v>280</v>
      </c>
      <c r="L9" s="224" t="s">
        <v>281</v>
      </c>
      <c r="M9" s="224" t="s">
        <v>284</v>
      </c>
      <c r="N9" s="222" t="s">
        <v>276</v>
      </c>
      <c r="O9" s="224" t="s">
        <v>285</v>
      </c>
      <c r="P9" s="112"/>
      <c r="Q9" s="107"/>
      <c r="R9" s="107"/>
      <c r="T9" s="195">
        <v>0.01</v>
      </c>
      <c r="U9" s="195">
        <v>285.45</v>
      </c>
      <c r="V9" s="195">
        <v>0</v>
      </c>
      <c r="W9" s="200">
        <v>1.9199999999999998E-2</v>
      </c>
    </row>
    <row r="10" spans="1:23" s="13" customFormat="1" ht="30" customHeight="1">
      <c r="A10" s="76"/>
      <c r="B10" s="77" t="s">
        <v>20</v>
      </c>
      <c r="C10" s="77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9"/>
      <c r="Q10" s="78"/>
      <c r="R10" s="78"/>
      <c r="S10" s="299"/>
      <c r="T10" s="196">
        <v>285.45999999999998</v>
      </c>
      <c r="U10" s="197">
        <v>2422.8000000000002</v>
      </c>
      <c r="V10" s="196">
        <v>5.55</v>
      </c>
      <c r="W10" s="201">
        <v>6.4000000000000001E-2</v>
      </c>
    </row>
    <row r="11" spans="1:23" ht="12.75" customHeight="1">
      <c r="A11" s="80"/>
      <c r="B11" s="62"/>
      <c r="C11" s="6"/>
      <c r="D11" s="7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10"/>
      <c r="Q11" s="8"/>
      <c r="R11" s="8"/>
      <c r="T11" s="197">
        <v>2422.81</v>
      </c>
      <c r="U11" s="197">
        <v>4257.8999999999996</v>
      </c>
      <c r="V11" s="196">
        <v>142.19999999999999</v>
      </c>
      <c r="W11" s="201">
        <v>0.10879999999999999</v>
      </c>
    </row>
    <row r="12" spans="1:23" ht="30" customHeight="1">
      <c r="A12" s="80">
        <v>1</v>
      </c>
      <c r="B12" s="6" t="s">
        <v>127</v>
      </c>
      <c r="C12" s="6" t="s">
        <v>99</v>
      </c>
      <c r="D12" s="7">
        <v>15</v>
      </c>
      <c r="E12" s="119">
        <v>1761.3</v>
      </c>
      <c r="F12" s="31">
        <f>(E12/15)*D12</f>
        <v>1761.3</v>
      </c>
      <c r="G12" s="204">
        <f>VLOOKUP(F12,$T$9:$W$19,1)</f>
        <v>285.45999999999998</v>
      </c>
      <c r="H12" s="205">
        <f>+F12-G12</f>
        <v>1475.84</v>
      </c>
      <c r="I12" s="206">
        <f>VLOOKUP(F12,$T$9:$W$19,4)</f>
        <v>6.4000000000000001E-2</v>
      </c>
      <c r="J12" s="205">
        <f>H12*I12</f>
        <v>94.453760000000003</v>
      </c>
      <c r="K12" s="207">
        <f>VLOOKUP(F12,$T$9:$W$19,3)</f>
        <v>5.55</v>
      </c>
      <c r="L12" s="205">
        <f>+J12+K12</f>
        <v>100.00376</v>
      </c>
      <c r="M12" s="207">
        <f>VLOOKUP(F12,$T$26:$V$36,3)</f>
        <v>188.7</v>
      </c>
      <c r="N12" s="249">
        <f>IF(L12-M12&gt;0,L12-M12,0)</f>
        <v>0</v>
      </c>
      <c r="O12" s="249">
        <f>IF(M12-L12&gt;0,M12-L12,0)</f>
        <v>88.696239999999989</v>
      </c>
      <c r="P12" s="31">
        <v>0</v>
      </c>
      <c r="Q12" s="31">
        <f>+F12-N12+O12-P12</f>
        <v>1849.9962399999999</v>
      </c>
      <c r="R12" s="31"/>
      <c r="T12" s="197">
        <v>4257.91</v>
      </c>
      <c r="U12" s="197">
        <v>4949.55</v>
      </c>
      <c r="V12" s="196">
        <v>341.85</v>
      </c>
      <c r="W12" s="201">
        <v>0.16</v>
      </c>
    </row>
    <row r="13" spans="1:23" ht="30" customHeight="1">
      <c r="A13" s="80"/>
      <c r="B13" s="63" t="s">
        <v>156</v>
      </c>
      <c r="C13" s="6"/>
      <c r="D13" s="7"/>
      <c r="E13" s="103"/>
      <c r="F13" s="31"/>
      <c r="G13" s="204"/>
      <c r="H13" s="205"/>
      <c r="I13" s="206"/>
      <c r="J13" s="205"/>
      <c r="K13" s="207"/>
      <c r="L13" s="205"/>
      <c r="M13" s="207"/>
      <c r="N13" s="249"/>
      <c r="O13" s="249"/>
      <c r="P13" s="31"/>
      <c r="Q13" s="31"/>
      <c r="R13" s="31"/>
      <c r="T13" s="197">
        <v>4949.5600000000004</v>
      </c>
      <c r="U13" s="197">
        <v>5925.9</v>
      </c>
      <c r="V13" s="196">
        <v>452.55</v>
      </c>
      <c r="W13" s="201">
        <v>0.1792</v>
      </c>
    </row>
    <row r="14" spans="1:23" ht="30" customHeight="1">
      <c r="A14" s="80">
        <v>2</v>
      </c>
      <c r="B14" s="62"/>
      <c r="C14" s="6" t="s">
        <v>213</v>
      </c>
      <c r="D14" s="7">
        <v>0</v>
      </c>
      <c r="E14" s="103">
        <v>0</v>
      </c>
      <c r="F14" s="31">
        <f t="shared" ref="F14:F28" si="0">(E14/15)*D14</f>
        <v>0</v>
      </c>
      <c r="G14" s="204" t="e">
        <f>VLOOKUP(F14,$T$9:$W$19,1)</f>
        <v>#N/A</v>
      </c>
      <c r="H14" s="205" t="e">
        <f>+F14-G14</f>
        <v>#N/A</v>
      </c>
      <c r="I14" s="206" t="e">
        <f>VLOOKUP(F14,$T$9:$W$19,4)</f>
        <v>#N/A</v>
      </c>
      <c r="J14" s="205" t="e">
        <f>H14*I14</f>
        <v>#N/A</v>
      </c>
      <c r="K14" s="207" t="e">
        <f>VLOOKUP(F14,$T$9:$W$19,3)</f>
        <v>#N/A</v>
      </c>
      <c r="L14" s="205" t="e">
        <f>+J14+K14</f>
        <v>#N/A</v>
      </c>
      <c r="M14" s="207" t="e">
        <f>VLOOKUP(F14,$T$26:$V$36,3)</f>
        <v>#N/A</v>
      </c>
      <c r="N14" s="249">
        <v>0</v>
      </c>
      <c r="O14" s="249">
        <v>0</v>
      </c>
      <c r="P14" s="31">
        <v>0</v>
      </c>
      <c r="Q14" s="31">
        <v>0</v>
      </c>
      <c r="R14" s="31"/>
      <c r="T14" s="197">
        <v>5925.91</v>
      </c>
      <c r="U14" s="197">
        <v>11951.85</v>
      </c>
      <c r="V14" s="196">
        <v>627.6</v>
      </c>
      <c r="W14" s="201">
        <v>0.21360000000000001</v>
      </c>
    </row>
    <row r="15" spans="1:23" ht="30" customHeight="1">
      <c r="A15" s="80"/>
      <c r="B15" s="63" t="s">
        <v>203</v>
      </c>
      <c r="C15" s="6"/>
      <c r="D15" s="7"/>
      <c r="E15" s="103"/>
      <c r="F15" s="31"/>
      <c r="G15" s="204"/>
      <c r="H15" s="205"/>
      <c r="I15" s="206"/>
      <c r="J15" s="205"/>
      <c r="K15" s="207"/>
      <c r="L15" s="205"/>
      <c r="M15" s="207"/>
      <c r="N15" s="249"/>
      <c r="O15" s="249"/>
      <c r="P15" s="31"/>
      <c r="Q15" s="31"/>
      <c r="R15" s="31"/>
      <c r="T15" s="197">
        <v>11951.86</v>
      </c>
      <c r="U15" s="197">
        <v>18837.75</v>
      </c>
      <c r="V15" s="197">
        <v>1914.75</v>
      </c>
      <c r="W15" s="201">
        <v>0.23519999999999999</v>
      </c>
    </row>
    <row r="16" spans="1:23" ht="30" customHeight="1">
      <c r="A16" s="80">
        <v>3</v>
      </c>
      <c r="B16" s="62" t="s">
        <v>205</v>
      </c>
      <c r="C16" s="6" t="s">
        <v>204</v>
      </c>
      <c r="D16" s="7">
        <v>15</v>
      </c>
      <c r="E16" s="103">
        <v>6800</v>
      </c>
      <c r="F16" s="31">
        <f t="shared" si="0"/>
        <v>6800</v>
      </c>
      <c r="G16" s="204">
        <f>VLOOKUP(F16,$T$9:$W$19,1)</f>
        <v>5925.91</v>
      </c>
      <c r="H16" s="205">
        <f>+F16-G16</f>
        <v>874.09000000000015</v>
      </c>
      <c r="I16" s="206">
        <f>VLOOKUP(F16,$T$9:$W$19,4)</f>
        <v>0.21360000000000001</v>
      </c>
      <c r="J16" s="205">
        <f>H16*I16</f>
        <v>186.70562400000003</v>
      </c>
      <c r="K16" s="207">
        <f>VLOOKUP(F16,$T$9:$W$19,3)</f>
        <v>627.6</v>
      </c>
      <c r="L16" s="205">
        <f>+J16+K16</f>
        <v>814.30562400000008</v>
      </c>
      <c r="M16" s="207">
        <f>VLOOKUP(F16,$T$26:$V$36,3)</f>
        <v>0</v>
      </c>
      <c r="N16" s="249">
        <f>IF(L16-M16&gt;0,L16-M16,0)</f>
        <v>814.30562400000008</v>
      </c>
      <c r="O16" s="249">
        <f>IF(M16-L16&gt;0,M16-L16,0)</f>
        <v>0</v>
      </c>
      <c r="P16" s="31">
        <v>0</v>
      </c>
      <c r="Q16" s="31">
        <f>+F16-N16+O16-P16</f>
        <v>5985.6943759999995</v>
      </c>
      <c r="R16" s="31"/>
      <c r="T16" s="197">
        <v>18837.759999999998</v>
      </c>
      <c r="U16" s="197">
        <v>35964.300000000003</v>
      </c>
      <c r="V16" s="197">
        <v>3534.3</v>
      </c>
      <c r="W16" s="201">
        <v>0.3</v>
      </c>
    </row>
    <row r="17" spans="1:23" ht="30" customHeight="1">
      <c r="A17" s="80">
        <v>4</v>
      </c>
      <c r="B17" s="62" t="s">
        <v>249</v>
      </c>
      <c r="C17" s="6" t="s">
        <v>250</v>
      </c>
      <c r="D17" s="7">
        <v>15</v>
      </c>
      <c r="E17" s="103">
        <v>3475</v>
      </c>
      <c r="F17" s="31">
        <f>(E17/15)*D17</f>
        <v>3475</v>
      </c>
      <c r="G17" s="204">
        <f>VLOOKUP(F17,$T$9:$W$19,1)</f>
        <v>2422.81</v>
      </c>
      <c r="H17" s="205">
        <f>+F17-G17</f>
        <v>1052.19</v>
      </c>
      <c r="I17" s="206">
        <f>VLOOKUP(F17,$T$9:$W$19,4)</f>
        <v>0.10879999999999999</v>
      </c>
      <c r="J17" s="205">
        <f>H17*I17</f>
        <v>114.478272</v>
      </c>
      <c r="K17" s="207">
        <f>VLOOKUP(F17,$T$9:$W$19,3)</f>
        <v>142.19999999999999</v>
      </c>
      <c r="L17" s="205">
        <f>+J17+K17</f>
        <v>256.67827199999999</v>
      </c>
      <c r="M17" s="207">
        <f>VLOOKUP(F17,$T$26:$V$36,3)</f>
        <v>125.1</v>
      </c>
      <c r="N17" s="249">
        <f>IF(L17-M17&gt;0,L17-M17,0)</f>
        <v>131.578272</v>
      </c>
      <c r="O17" s="249">
        <f>IF(M17-L17&gt;0,M17-L17,0)</f>
        <v>0</v>
      </c>
      <c r="P17" s="31">
        <v>0</v>
      </c>
      <c r="Q17" s="31">
        <f>+F17-N17+O17-P17</f>
        <v>3343.4217279999998</v>
      </c>
      <c r="R17" s="31"/>
      <c r="T17" s="197">
        <v>35964.31</v>
      </c>
      <c r="U17" s="197">
        <v>47952.3</v>
      </c>
      <c r="V17" s="197">
        <v>8672.25</v>
      </c>
      <c r="W17" s="201">
        <v>0.32</v>
      </c>
    </row>
    <row r="18" spans="1:23" ht="30" customHeight="1">
      <c r="A18" s="80"/>
      <c r="B18" s="63" t="s">
        <v>173</v>
      </c>
      <c r="C18" s="6"/>
      <c r="D18" s="7"/>
      <c r="E18" s="103"/>
      <c r="F18" s="31"/>
      <c r="G18" s="31"/>
      <c r="H18" s="31"/>
      <c r="I18" s="31"/>
      <c r="J18" s="31"/>
      <c r="K18" s="31"/>
      <c r="L18" s="31"/>
      <c r="M18" s="207"/>
      <c r="N18" s="131"/>
      <c r="O18" s="131"/>
      <c r="P18" s="31"/>
      <c r="Q18" s="31"/>
      <c r="R18" s="31"/>
      <c r="T18" s="197">
        <v>47952.31</v>
      </c>
      <c r="U18" s="197">
        <v>143856.9</v>
      </c>
      <c r="V18" s="197">
        <v>12508.35</v>
      </c>
      <c r="W18" s="201">
        <v>0.34</v>
      </c>
    </row>
    <row r="19" spans="1:23" ht="30" customHeight="1" thickBot="1">
      <c r="A19" s="80">
        <v>5</v>
      </c>
      <c r="B19" s="64" t="s">
        <v>138</v>
      </c>
      <c r="C19" s="6" t="s">
        <v>83</v>
      </c>
      <c r="D19" s="7">
        <v>0</v>
      </c>
      <c r="E19" s="103">
        <v>0</v>
      </c>
      <c r="F19" s="31">
        <v>0</v>
      </c>
      <c r="G19" s="204" t="e">
        <f>VLOOKUP(F19,$T$9:$W$19,1)</f>
        <v>#N/A</v>
      </c>
      <c r="H19" s="205" t="e">
        <f>+F19-G19</f>
        <v>#N/A</v>
      </c>
      <c r="I19" s="206" t="e">
        <f>VLOOKUP(F19,$T$9:$W$19,4)</f>
        <v>#N/A</v>
      </c>
      <c r="J19" s="205" t="e">
        <f>H19*I19</f>
        <v>#N/A</v>
      </c>
      <c r="K19" s="207" t="e">
        <f>VLOOKUP(F19,$T$9:$W$19,3)</f>
        <v>#N/A</v>
      </c>
      <c r="L19" s="205" t="e">
        <f>+J19+K19</f>
        <v>#N/A</v>
      </c>
      <c r="M19" s="207" t="e">
        <f>VLOOKUP(F19,$T$26:$V$36,3)</f>
        <v>#N/A</v>
      </c>
      <c r="N19" s="249">
        <v>0</v>
      </c>
      <c r="O19" s="249">
        <v>0</v>
      </c>
      <c r="P19" s="31">
        <v>0</v>
      </c>
      <c r="Q19" s="31">
        <v>0</v>
      </c>
      <c r="R19" s="31"/>
      <c r="T19" s="198">
        <v>143856.91</v>
      </c>
      <c r="U19" s="199" t="s">
        <v>287</v>
      </c>
      <c r="V19" s="198">
        <v>45115.95</v>
      </c>
      <c r="W19" s="202">
        <v>0.35</v>
      </c>
    </row>
    <row r="20" spans="1:23" ht="30" customHeight="1" thickTop="1">
      <c r="A20" s="80"/>
      <c r="B20" s="63" t="s">
        <v>130</v>
      </c>
      <c r="C20" s="6"/>
      <c r="D20" s="7"/>
      <c r="E20" s="103"/>
      <c r="F20" s="31"/>
      <c r="G20" s="31"/>
      <c r="H20" s="31"/>
      <c r="I20" s="31"/>
      <c r="J20" s="31"/>
      <c r="K20" s="31"/>
      <c r="L20" s="31"/>
      <c r="M20" s="207"/>
      <c r="N20" s="131"/>
      <c r="O20" s="131"/>
      <c r="P20" s="31"/>
      <c r="Q20" s="31"/>
      <c r="R20" s="31"/>
    </row>
    <row r="21" spans="1:23" ht="22.15" customHeight="1">
      <c r="A21" s="80">
        <v>6</v>
      </c>
      <c r="B21" s="62" t="s">
        <v>211</v>
      </c>
      <c r="C21" s="6" t="s">
        <v>140</v>
      </c>
      <c r="D21" s="7">
        <v>13</v>
      </c>
      <c r="E21" s="103">
        <v>1984.81</v>
      </c>
      <c r="F21" s="31">
        <f t="shared" si="0"/>
        <v>1720.1686666666665</v>
      </c>
      <c r="G21" s="251">
        <f>VLOOKUP(F21,$T$9:$W$19,1)</f>
        <v>285.45999999999998</v>
      </c>
      <c r="H21" s="256">
        <f>+F21-G21</f>
        <v>1434.7086666666664</v>
      </c>
      <c r="I21" s="257">
        <f>VLOOKUP(F21,$T$9:$W$19,4)</f>
        <v>6.4000000000000001E-2</v>
      </c>
      <c r="J21" s="256">
        <f>H21*I21</f>
        <v>91.82135466666665</v>
      </c>
      <c r="K21" s="258">
        <f>VLOOKUP(F21,$T$9:$W$19,3)</f>
        <v>5.55</v>
      </c>
      <c r="L21" s="256">
        <f>+J21+K21</f>
        <v>97.371354666666647</v>
      </c>
      <c r="M21" s="258">
        <f>VLOOKUP(F21,$T$26:$V$36,3)</f>
        <v>193.8</v>
      </c>
      <c r="N21" s="249">
        <f>IF(L21-M21&gt;0,L21-M21,0)</f>
        <v>0</v>
      </c>
      <c r="O21" s="249">
        <f>IF(M21-L21&gt;0,M21-L21,0)</f>
        <v>96.428645333333364</v>
      </c>
      <c r="P21" s="31">
        <v>0</v>
      </c>
      <c r="Q21" s="31">
        <f>+F21-N21+O21-P21</f>
        <v>1816.5973119999999</v>
      </c>
      <c r="R21" s="31"/>
    </row>
    <row r="22" spans="1:23" ht="22.15" customHeight="1">
      <c r="A22" s="134"/>
      <c r="B22" s="277" t="s">
        <v>103</v>
      </c>
      <c r="C22" s="188"/>
      <c r="D22" s="274"/>
      <c r="E22" s="136"/>
      <c r="F22" s="131"/>
      <c r="G22" s="131"/>
      <c r="H22" s="131"/>
      <c r="I22" s="131"/>
      <c r="J22" s="131"/>
      <c r="K22" s="131"/>
      <c r="L22" s="131"/>
      <c r="M22" s="259"/>
      <c r="N22" s="131"/>
      <c r="O22" s="131"/>
      <c r="P22" s="131"/>
      <c r="Q22" s="131"/>
      <c r="R22" s="131"/>
    </row>
    <row r="23" spans="1:23" ht="30" customHeight="1" thickBot="1">
      <c r="A23" s="80">
        <v>7</v>
      </c>
      <c r="B23" s="64" t="s">
        <v>107</v>
      </c>
      <c r="C23" s="23" t="s">
        <v>16</v>
      </c>
      <c r="D23" s="163">
        <v>15</v>
      </c>
      <c r="E23" s="103">
        <v>1984.81</v>
      </c>
      <c r="F23" s="31">
        <f t="shared" si="0"/>
        <v>1984.8099999999997</v>
      </c>
      <c r="G23" s="204">
        <f>VLOOKUP(F23,$T$9:$W$19,1)</f>
        <v>285.45999999999998</v>
      </c>
      <c r="H23" s="205">
        <f>+F23-G23</f>
        <v>1699.3499999999997</v>
      </c>
      <c r="I23" s="206">
        <f>VLOOKUP(F23,$T$9:$W$19,4)</f>
        <v>6.4000000000000001E-2</v>
      </c>
      <c r="J23" s="205">
        <f>H23*I23</f>
        <v>108.75839999999998</v>
      </c>
      <c r="K23" s="207">
        <f>VLOOKUP(F23,$T$9:$W$19,3)</f>
        <v>5.55</v>
      </c>
      <c r="L23" s="205">
        <f>+J23+K23</f>
        <v>114.30839999999998</v>
      </c>
      <c r="M23" s="207">
        <f>VLOOKUP(F23,$T$26:$V$36,3)</f>
        <v>188.7</v>
      </c>
      <c r="N23" s="249">
        <f>IF(L23-M23&gt;0,L23-M23,0)</f>
        <v>0</v>
      </c>
      <c r="O23" s="249">
        <f>IF(M23-L23&gt;0,M23-L23,0)</f>
        <v>74.391600000000011</v>
      </c>
      <c r="P23" s="31">
        <v>0</v>
      </c>
      <c r="Q23" s="31">
        <f>+F23-N23+O23-P23</f>
        <v>2059.2015999999999</v>
      </c>
      <c r="R23" s="31"/>
    </row>
    <row r="24" spans="1:23" ht="30" customHeight="1">
      <c r="A24" s="81"/>
      <c r="B24" s="71" t="s">
        <v>109</v>
      </c>
      <c r="C24" s="6"/>
      <c r="D24" s="7"/>
      <c r="E24" s="103"/>
      <c r="F24" s="31"/>
      <c r="G24" s="31"/>
      <c r="H24" s="31"/>
      <c r="I24" s="31"/>
      <c r="J24" s="31"/>
      <c r="K24" s="31"/>
      <c r="L24" s="31"/>
      <c r="M24" s="207"/>
      <c r="N24" s="131"/>
      <c r="O24" s="131"/>
      <c r="P24" s="31"/>
      <c r="Q24" s="31"/>
      <c r="R24" s="31"/>
      <c r="T24" s="213" t="s">
        <v>269</v>
      </c>
      <c r="U24" s="214"/>
      <c r="V24" s="215"/>
    </row>
    <row r="25" spans="1:23" ht="30" customHeight="1" thickBot="1">
      <c r="A25" s="81">
        <v>8</v>
      </c>
      <c r="B25" s="72" t="s">
        <v>141</v>
      </c>
      <c r="C25" s="70" t="s">
        <v>16</v>
      </c>
      <c r="D25" s="7">
        <v>15</v>
      </c>
      <c r="E25" s="103">
        <v>2758.34</v>
      </c>
      <c r="F25" s="31">
        <f t="shared" si="0"/>
        <v>2758.34</v>
      </c>
      <c r="G25" s="204">
        <f>VLOOKUP(F25,$T$9:$W$19,1)</f>
        <v>2422.81</v>
      </c>
      <c r="H25" s="205">
        <f>+F25-G25</f>
        <v>335.5300000000002</v>
      </c>
      <c r="I25" s="206">
        <f>VLOOKUP(F25,$T$9:$W$19,4)</f>
        <v>0.10879999999999999</v>
      </c>
      <c r="J25" s="205">
        <f>H25*I25</f>
        <v>36.505664000000017</v>
      </c>
      <c r="K25" s="207">
        <f>VLOOKUP(F25,$T$9:$W$19,3)</f>
        <v>142.19999999999999</v>
      </c>
      <c r="L25" s="205">
        <f>+J25+K25</f>
        <v>178.70566400000001</v>
      </c>
      <c r="M25" s="207">
        <f>VLOOKUP(F25,$T$26:$V$36,3)</f>
        <v>145.35</v>
      </c>
      <c r="N25" s="249">
        <f>IF(L25-M25&gt;0,L25-M25,0)</f>
        <v>33.355664000000019</v>
      </c>
      <c r="O25" s="249">
        <f>IF(M25-L25&gt;0,M25-L25,0)</f>
        <v>0</v>
      </c>
      <c r="P25" s="31">
        <v>0</v>
      </c>
      <c r="Q25" s="31">
        <f>+F25-N25+O25-P25</f>
        <v>2724.984336</v>
      </c>
      <c r="R25" s="31"/>
      <c r="T25" s="216" t="s">
        <v>264</v>
      </c>
      <c r="U25" s="217" t="s">
        <v>265</v>
      </c>
      <c r="V25" s="218" t="s">
        <v>266</v>
      </c>
    </row>
    <row r="26" spans="1:23" ht="30" customHeight="1" thickTop="1">
      <c r="A26" s="81"/>
      <c r="B26" s="69" t="s">
        <v>142</v>
      </c>
      <c r="C26" s="73"/>
      <c r="D26" s="7"/>
      <c r="E26" s="103"/>
      <c r="F26" s="31"/>
      <c r="G26" s="31"/>
      <c r="H26" s="31"/>
      <c r="I26" s="31"/>
      <c r="J26" s="31"/>
      <c r="K26" s="31"/>
      <c r="L26" s="31"/>
      <c r="M26" s="207"/>
      <c r="N26" s="131"/>
      <c r="O26" s="131"/>
      <c r="P26" s="31"/>
      <c r="Q26" s="31"/>
      <c r="R26" s="31"/>
      <c r="T26" s="195">
        <v>0.01</v>
      </c>
      <c r="U26" s="195">
        <v>872.85</v>
      </c>
      <c r="V26" s="195">
        <v>200.85</v>
      </c>
    </row>
    <row r="27" spans="1:23" ht="30" customHeight="1">
      <c r="A27" s="81">
        <v>9</v>
      </c>
      <c r="B27" s="74" t="s">
        <v>63</v>
      </c>
      <c r="C27" s="73" t="s">
        <v>35</v>
      </c>
      <c r="D27" s="7">
        <v>15</v>
      </c>
      <c r="E27" s="103">
        <v>2034.25</v>
      </c>
      <c r="F27" s="31">
        <f t="shared" si="0"/>
        <v>2034.25</v>
      </c>
      <c r="G27" s="204">
        <f>VLOOKUP(F27,$T$9:$W$19,1)</f>
        <v>285.45999999999998</v>
      </c>
      <c r="H27" s="205">
        <f>+F27-G27</f>
        <v>1748.79</v>
      </c>
      <c r="I27" s="206">
        <f>VLOOKUP(F27,$T$9:$W$19,4)</f>
        <v>6.4000000000000001E-2</v>
      </c>
      <c r="J27" s="205">
        <f>H27*I27</f>
        <v>111.92256</v>
      </c>
      <c r="K27" s="207">
        <f>VLOOKUP(F27,$T$9:$W$19,3)</f>
        <v>5.55</v>
      </c>
      <c r="L27" s="205">
        <f>+J27+K27</f>
        <v>117.47256</v>
      </c>
      <c r="M27" s="207">
        <f>VLOOKUP(F27,$T$26:$V$36,3)</f>
        <v>188.7</v>
      </c>
      <c r="N27" s="249">
        <f>IF(L27-M27&gt;0,L27-M27,0)</f>
        <v>0</v>
      </c>
      <c r="O27" s="249">
        <f>IF(M27-L27&gt;0,M27-L27,0)</f>
        <v>71.227439999999987</v>
      </c>
      <c r="P27" s="31">
        <v>0</v>
      </c>
      <c r="Q27" s="31">
        <f>+F27-N27+O27-P27</f>
        <v>2105.4774400000001</v>
      </c>
      <c r="R27" s="31"/>
      <c r="T27" s="196">
        <v>872.86</v>
      </c>
      <c r="U27" s="197">
        <v>1309.2</v>
      </c>
      <c r="V27" s="196">
        <v>200.7</v>
      </c>
    </row>
    <row r="28" spans="1:23" ht="30" customHeight="1">
      <c r="A28" s="81">
        <v>10</v>
      </c>
      <c r="B28" s="74" t="s">
        <v>143</v>
      </c>
      <c r="C28" s="73" t="s">
        <v>35</v>
      </c>
      <c r="D28" s="7">
        <v>15</v>
      </c>
      <c r="E28" s="103">
        <v>2034.25</v>
      </c>
      <c r="F28" s="31">
        <f t="shared" si="0"/>
        <v>2034.25</v>
      </c>
      <c r="G28" s="204">
        <f>VLOOKUP(F28,$T$9:$W$19,1)</f>
        <v>285.45999999999998</v>
      </c>
      <c r="H28" s="205">
        <f>+F28-G28</f>
        <v>1748.79</v>
      </c>
      <c r="I28" s="206">
        <f>VLOOKUP(F28,$T$9:$W$19,4)</f>
        <v>6.4000000000000001E-2</v>
      </c>
      <c r="J28" s="205">
        <f>H28*I28</f>
        <v>111.92256</v>
      </c>
      <c r="K28" s="207">
        <f>VLOOKUP(F28,$T$9:$W$19,3)</f>
        <v>5.55</v>
      </c>
      <c r="L28" s="205">
        <f>+J28+K28</f>
        <v>117.47256</v>
      </c>
      <c r="M28" s="207">
        <f>VLOOKUP(F28,$T$26:$V$36,3)</f>
        <v>188.7</v>
      </c>
      <c r="N28" s="249">
        <f>IF(L28-M28&gt;0,L28-M28,0)</f>
        <v>0</v>
      </c>
      <c r="O28" s="249">
        <f>IF(M28-L28&gt;0,M28-L28,0)</f>
        <v>71.227439999999987</v>
      </c>
      <c r="P28" s="31">
        <v>0</v>
      </c>
      <c r="Q28" s="31">
        <f>+F28-N28+O28-P28</f>
        <v>2105.4774400000001</v>
      </c>
      <c r="R28" s="31"/>
      <c r="T28" s="197">
        <v>1309.21</v>
      </c>
      <c r="U28" s="197">
        <v>1713.6</v>
      </c>
      <c r="V28" s="196">
        <v>200.7</v>
      </c>
    </row>
    <row r="29" spans="1:23" ht="30" customHeight="1">
      <c r="A29" s="260"/>
      <c r="B29" s="261"/>
      <c r="C29" s="262"/>
      <c r="D29" s="263"/>
      <c r="E29" s="264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T29" s="197">
        <v>1713.61</v>
      </c>
      <c r="U29" s="197">
        <v>1745.7</v>
      </c>
      <c r="V29" s="196">
        <v>193.8</v>
      </c>
    </row>
    <row r="30" spans="1:23" ht="30" customHeight="1">
      <c r="A30" s="338" t="s">
        <v>12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T30" s="197">
        <v>1745.71</v>
      </c>
      <c r="U30" s="197">
        <v>2193.75</v>
      </c>
      <c r="V30" s="196">
        <v>188.7</v>
      </c>
    </row>
    <row r="31" spans="1:23" ht="30" customHeight="1">
      <c r="A31" s="338" t="s">
        <v>238</v>
      </c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T31" s="197">
        <v>2193.7600000000002</v>
      </c>
      <c r="U31" s="197">
        <v>2327.5500000000002</v>
      </c>
      <c r="V31" s="196">
        <v>174.75</v>
      </c>
    </row>
    <row r="32" spans="1:23" ht="30" customHeight="1">
      <c r="A32" s="340" t="str">
        <f>A4</f>
        <v>SUELDOS 2DA QUINCENA DE AGOSTO DE 2018</v>
      </c>
      <c r="B32" s="340"/>
      <c r="C32" s="340"/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  <c r="O32" s="340"/>
      <c r="P32" s="340"/>
      <c r="Q32" s="340"/>
      <c r="R32" s="340"/>
      <c r="T32" s="197">
        <v>2327.56</v>
      </c>
      <c r="U32" s="197">
        <v>2632.65</v>
      </c>
      <c r="V32" s="196">
        <v>160.35</v>
      </c>
    </row>
    <row r="33" spans="1:22" ht="30" customHeight="1">
      <c r="A33" s="340" t="s">
        <v>228</v>
      </c>
      <c r="B33" s="340"/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  <c r="O33" s="340"/>
      <c r="P33" s="340"/>
      <c r="Q33" s="340"/>
      <c r="R33" s="340"/>
      <c r="T33" s="197">
        <v>2632.66</v>
      </c>
      <c r="U33" s="197">
        <v>3071.4</v>
      </c>
      <c r="V33" s="196">
        <v>145.35</v>
      </c>
    </row>
    <row r="34" spans="1:22" ht="21.95" customHeight="1">
      <c r="A34" s="113"/>
      <c r="B34" s="113"/>
      <c r="C34" s="113"/>
      <c r="D34" s="105" t="s">
        <v>4</v>
      </c>
      <c r="E34" s="220" t="s">
        <v>0</v>
      </c>
      <c r="F34" s="221"/>
      <c r="G34" s="334" t="s">
        <v>290</v>
      </c>
      <c r="H34" s="335"/>
      <c r="I34" s="335"/>
      <c r="J34" s="335"/>
      <c r="K34" s="335"/>
      <c r="L34" s="335"/>
      <c r="M34" s="335"/>
      <c r="N34" s="335"/>
      <c r="O34" s="335"/>
      <c r="P34" s="108"/>
      <c r="Q34" s="105"/>
      <c r="R34" s="106"/>
      <c r="T34" s="197">
        <v>3071.41</v>
      </c>
      <c r="U34" s="197">
        <v>3510.15</v>
      </c>
      <c r="V34" s="196">
        <v>125.1</v>
      </c>
    </row>
    <row r="35" spans="1:22" ht="18.75" customHeight="1">
      <c r="A35" s="105" t="s">
        <v>3</v>
      </c>
      <c r="B35" s="106"/>
      <c r="C35" s="105"/>
      <c r="D35" s="110" t="s">
        <v>5</v>
      </c>
      <c r="E35" s="107" t="s">
        <v>1</v>
      </c>
      <c r="F35" s="107" t="s">
        <v>227</v>
      </c>
      <c r="G35" s="334" t="s">
        <v>270</v>
      </c>
      <c r="H35" s="335"/>
      <c r="I35" s="335"/>
      <c r="J35" s="335"/>
      <c r="K35" s="335"/>
      <c r="L35" s="335"/>
      <c r="M35" s="335"/>
      <c r="N35" s="335"/>
      <c r="O35" s="336"/>
      <c r="P35" s="105" t="s">
        <v>244</v>
      </c>
      <c r="Q35" s="105" t="s">
        <v>230</v>
      </c>
      <c r="R35" s="109"/>
      <c r="T35" s="197">
        <v>3510.16</v>
      </c>
      <c r="U35" s="197">
        <v>3642.6</v>
      </c>
      <c r="V35" s="196">
        <v>107.4</v>
      </c>
    </row>
    <row r="36" spans="1:22" ht="21.95" customHeight="1" thickBot="1">
      <c r="A36" s="106"/>
      <c r="B36" s="111"/>
      <c r="C36" s="171" t="s">
        <v>10</v>
      </c>
      <c r="D36" s="105"/>
      <c r="E36" s="105" t="s">
        <v>7</v>
      </c>
      <c r="F36" s="105" t="s">
        <v>230</v>
      </c>
      <c r="G36" s="222" t="s">
        <v>272</v>
      </c>
      <c r="H36" s="222" t="s">
        <v>273</v>
      </c>
      <c r="I36" s="222" t="s">
        <v>282</v>
      </c>
      <c r="J36" s="222" t="s">
        <v>274</v>
      </c>
      <c r="K36" s="222" t="s">
        <v>275</v>
      </c>
      <c r="L36" s="222" t="s">
        <v>271</v>
      </c>
      <c r="M36" s="222" t="s">
        <v>283</v>
      </c>
      <c r="N36" s="223" t="s">
        <v>271</v>
      </c>
      <c r="O36" s="222" t="s">
        <v>286</v>
      </c>
      <c r="P36" s="105" t="s">
        <v>246</v>
      </c>
      <c r="Q36" s="105" t="s">
        <v>233</v>
      </c>
      <c r="R36" s="107" t="s">
        <v>236</v>
      </c>
      <c r="T36" s="198">
        <v>3642.61</v>
      </c>
      <c r="U36" s="199" t="s">
        <v>287</v>
      </c>
      <c r="V36" s="199">
        <v>0</v>
      </c>
    </row>
    <row r="37" spans="1:22" ht="21.95" customHeight="1" thickTop="1">
      <c r="A37" s="105"/>
      <c r="B37" s="111" t="s">
        <v>89</v>
      </c>
      <c r="C37" s="111" t="s">
        <v>9</v>
      </c>
      <c r="D37" s="107"/>
      <c r="E37" s="107"/>
      <c r="F37" s="107"/>
      <c r="G37" s="224" t="s">
        <v>277</v>
      </c>
      <c r="H37" s="224" t="s">
        <v>278</v>
      </c>
      <c r="I37" s="224" t="s">
        <v>278</v>
      </c>
      <c r="J37" s="224" t="s">
        <v>279</v>
      </c>
      <c r="K37" s="224" t="s">
        <v>280</v>
      </c>
      <c r="L37" s="224" t="s">
        <v>281</v>
      </c>
      <c r="M37" s="224" t="s">
        <v>284</v>
      </c>
      <c r="N37" s="222" t="s">
        <v>276</v>
      </c>
      <c r="O37" s="224" t="s">
        <v>285</v>
      </c>
      <c r="P37" s="112"/>
      <c r="Q37" s="107"/>
      <c r="R37" s="107"/>
    </row>
    <row r="38" spans="1:22" ht="30" customHeight="1">
      <c r="A38" s="134"/>
      <c r="B38" s="135" t="s">
        <v>147</v>
      </c>
      <c r="C38" s="60"/>
      <c r="D38" s="130"/>
      <c r="E38" s="136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1"/>
      <c r="R38" s="131"/>
    </row>
    <row r="39" spans="1:22" ht="30" customHeight="1">
      <c r="A39" s="80">
        <v>11</v>
      </c>
      <c r="B39" s="62" t="s">
        <v>150</v>
      </c>
      <c r="C39" s="6" t="s">
        <v>149</v>
      </c>
      <c r="D39" s="7">
        <v>15</v>
      </c>
      <c r="E39" s="103">
        <v>2982.88</v>
      </c>
      <c r="F39" s="31">
        <f>(E39/15)*D39</f>
        <v>2982.88</v>
      </c>
      <c r="G39" s="204">
        <f t="shared" ref="G39:G54" si="1">VLOOKUP(F39,$T$9:$W$19,1)</f>
        <v>2422.81</v>
      </c>
      <c r="H39" s="205">
        <f t="shared" ref="H39:H54" si="2">+F39-G39</f>
        <v>560.07000000000016</v>
      </c>
      <c r="I39" s="206">
        <f t="shared" ref="I39:I54" si="3">VLOOKUP(F39,$T$9:$W$19,4)</f>
        <v>0.10879999999999999</v>
      </c>
      <c r="J39" s="205">
        <f t="shared" ref="J39:J54" si="4">H39*I39</f>
        <v>60.935616000000017</v>
      </c>
      <c r="K39" s="207">
        <f t="shared" ref="K39:K54" si="5">VLOOKUP(F39,$T$9:$W$19,3)</f>
        <v>142.19999999999999</v>
      </c>
      <c r="L39" s="205">
        <f t="shared" ref="L39:L54" si="6">+J39+K39</f>
        <v>203.135616</v>
      </c>
      <c r="M39" s="207">
        <f t="shared" ref="M39:M54" si="7">VLOOKUP(F39,$T$26:$V$36,3)</f>
        <v>145.35</v>
      </c>
      <c r="N39" s="249">
        <f t="shared" ref="N39:N54" si="8">IF(L39-M39&gt;0,L39-M39,0)</f>
        <v>57.785616000000005</v>
      </c>
      <c r="O39" s="249">
        <f t="shared" ref="O39:O54" si="9">IF(M39-L39&gt;0,M39-L39,0)</f>
        <v>0</v>
      </c>
      <c r="P39" s="31">
        <v>0</v>
      </c>
      <c r="Q39" s="31">
        <f t="shared" ref="Q39:Q54" si="10">+F39-N39+O39-P39</f>
        <v>2925.094384</v>
      </c>
      <c r="R39" s="31"/>
    </row>
    <row r="40" spans="1:22" ht="30" customHeight="1">
      <c r="A40" s="80">
        <v>12</v>
      </c>
      <c r="B40" s="64" t="s">
        <v>192</v>
      </c>
      <c r="C40" s="6" t="s">
        <v>190</v>
      </c>
      <c r="D40" s="7">
        <v>15</v>
      </c>
      <c r="E40" s="103">
        <v>2147.5500000000002</v>
      </c>
      <c r="F40" s="31">
        <f t="shared" ref="F40:F54" si="11">(E40/15)*D40</f>
        <v>2147.5500000000002</v>
      </c>
      <c r="G40" s="204">
        <f t="shared" si="1"/>
        <v>285.45999999999998</v>
      </c>
      <c r="H40" s="205">
        <f t="shared" si="2"/>
        <v>1862.0900000000001</v>
      </c>
      <c r="I40" s="206">
        <f t="shared" si="3"/>
        <v>6.4000000000000001E-2</v>
      </c>
      <c r="J40" s="205">
        <f t="shared" si="4"/>
        <v>119.17376000000002</v>
      </c>
      <c r="K40" s="207">
        <f t="shared" si="5"/>
        <v>5.55</v>
      </c>
      <c r="L40" s="205">
        <f t="shared" si="6"/>
        <v>124.72376000000001</v>
      </c>
      <c r="M40" s="207">
        <f t="shared" si="7"/>
        <v>188.7</v>
      </c>
      <c r="N40" s="249">
        <f t="shared" si="8"/>
        <v>0</v>
      </c>
      <c r="O40" s="249">
        <f t="shared" si="9"/>
        <v>63.976239999999976</v>
      </c>
      <c r="P40" s="31">
        <v>0</v>
      </c>
      <c r="Q40" s="31">
        <f t="shared" si="10"/>
        <v>2211.5262400000001</v>
      </c>
      <c r="R40" s="31"/>
    </row>
    <row r="41" spans="1:22" ht="30" customHeight="1">
      <c r="A41" s="80">
        <v>13</v>
      </c>
      <c r="B41" s="62" t="s">
        <v>253</v>
      </c>
      <c r="C41" s="6" t="s">
        <v>41</v>
      </c>
      <c r="D41" s="7">
        <v>15</v>
      </c>
      <c r="E41" s="103">
        <v>2575</v>
      </c>
      <c r="F41" s="31">
        <f t="shared" si="11"/>
        <v>2575</v>
      </c>
      <c r="G41" s="204">
        <f t="shared" si="1"/>
        <v>2422.81</v>
      </c>
      <c r="H41" s="205">
        <f t="shared" si="2"/>
        <v>152.19000000000005</v>
      </c>
      <c r="I41" s="206">
        <f t="shared" si="3"/>
        <v>0.10879999999999999</v>
      </c>
      <c r="J41" s="205">
        <f t="shared" si="4"/>
        <v>16.558272000000006</v>
      </c>
      <c r="K41" s="207">
        <f t="shared" si="5"/>
        <v>142.19999999999999</v>
      </c>
      <c r="L41" s="205">
        <f t="shared" si="6"/>
        <v>158.75827200000001</v>
      </c>
      <c r="M41" s="207">
        <f t="shared" si="7"/>
        <v>160.35</v>
      </c>
      <c r="N41" s="249">
        <f t="shared" si="8"/>
        <v>0</v>
      </c>
      <c r="O41" s="249">
        <f t="shared" si="9"/>
        <v>1.5917279999999892</v>
      </c>
      <c r="P41" s="31">
        <v>0</v>
      </c>
      <c r="Q41" s="31">
        <f t="shared" si="10"/>
        <v>2576.5917279999999</v>
      </c>
      <c r="R41" s="31"/>
    </row>
    <row r="42" spans="1:22" ht="30" customHeight="1">
      <c r="A42" s="80">
        <v>14</v>
      </c>
      <c r="B42" s="62" t="s">
        <v>117</v>
      </c>
      <c r="C42" s="6" t="s">
        <v>35</v>
      </c>
      <c r="D42" s="7">
        <v>15</v>
      </c>
      <c r="E42" s="103">
        <v>2896</v>
      </c>
      <c r="F42" s="31">
        <f t="shared" si="11"/>
        <v>2896</v>
      </c>
      <c r="G42" s="204">
        <f t="shared" si="1"/>
        <v>2422.81</v>
      </c>
      <c r="H42" s="205">
        <f t="shared" si="2"/>
        <v>473.19000000000005</v>
      </c>
      <c r="I42" s="206">
        <f t="shared" si="3"/>
        <v>0.10879999999999999</v>
      </c>
      <c r="J42" s="205">
        <f t="shared" si="4"/>
        <v>51.483072</v>
      </c>
      <c r="K42" s="207">
        <f t="shared" si="5"/>
        <v>142.19999999999999</v>
      </c>
      <c r="L42" s="205">
        <f t="shared" si="6"/>
        <v>193.68307199999998</v>
      </c>
      <c r="M42" s="207">
        <f t="shared" si="7"/>
        <v>145.35</v>
      </c>
      <c r="N42" s="249">
        <f t="shared" si="8"/>
        <v>48.333071999999987</v>
      </c>
      <c r="O42" s="249">
        <f t="shared" si="9"/>
        <v>0</v>
      </c>
      <c r="P42" s="31">
        <v>0</v>
      </c>
      <c r="Q42" s="31">
        <f t="shared" si="10"/>
        <v>2847.6669280000001</v>
      </c>
      <c r="R42" s="31"/>
    </row>
    <row r="43" spans="1:22" ht="30" customHeight="1">
      <c r="A43" s="80">
        <v>15</v>
      </c>
      <c r="B43" s="62" t="s">
        <v>100</v>
      </c>
      <c r="C43" s="6" t="s">
        <v>62</v>
      </c>
      <c r="D43" s="7">
        <v>15</v>
      </c>
      <c r="E43" s="103">
        <v>2147.5500000000002</v>
      </c>
      <c r="F43" s="31">
        <f t="shared" si="11"/>
        <v>2147.5500000000002</v>
      </c>
      <c r="G43" s="204">
        <f t="shared" si="1"/>
        <v>285.45999999999998</v>
      </c>
      <c r="H43" s="205">
        <f t="shared" si="2"/>
        <v>1862.0900000000001</v>
      </c>
      <c r="I43" s="206">
        <f t="shared" si="3"/>
        <v>6.4000000000000001E-2</v>
      </c>
      <c r="J43" s="205">
        <f t="shared" si="4"/>
        <v>119.17376000000002</v>
      </c>
      <c r="K43" s="207">
        <f t="shared" si="5"/>
        <v>5.55</v>
      </c>
      <c r="L43" s="205">
        <f t="shared" si="6"/>
        <v>124.72376000000001</v>
      </c>
      <c r="M43" s="207">
        <f t="shared" si="7"/>
        <v>188.7</v>
      </c>
      <c r="N43" s="249">
        <f t="shared" si="8"/>
        <v>0</v>
      </c>
      <c r="O43" s="249">
        <f t="shared" si="9"/>
        <v>63.976239999999976</v>
      </c>
      <c r="P43" s="31">
        <v>0</v>
      </c>
      <c r="Q43" s="31">
        <f t="shared" si="10"/>
        <v>2211.5262400000001</v>
      </c>
      <c r="R43" s="31"/>
    </row>
    <row r="44" spans="1:22" ht="30" customHeight="1">
      <c r="A44" s="80">
        <v>16</v>
      </c>
      <c r="B44" s="62" t="s">
        <v>151</v>
      </c>
      <c r="C44" s="6" t="s">
        <v>35</v>
      </c>
      <c r="D44" s="7">
        <v>15</v>
      </c>
      <c r="E44" s="103">
        <v>2147.5500000000002</v>
      </c>
      <c r="F44" s="31">
        <f t="shared" si="11"/>
        <v>2147.5500000000002</v>
      </c>
      <c r="G44" s="204">
        <f t="shared" si="1"/>
        <v>285.45999999999998</v>
      </c>
      <c r="H44" s="205">
        <f t="shared" si="2"/>
        <v>1862.0900000000001</v>
      </c>
      <c r="I44" s="206">
        <f t="shared" si="3"/>
        <v>6.4000000000000001E-2</v>
      </c>
      <c r="J44" s="205">
        <f t="shared" si="4"/>
        <v>119.17376000000002</v>
      </c>
      <c r="K44" s="207">
        <f t="shared" si="5"/>
        <v>5.55</v>
      </c>
      <c r="L44" s="205">
        <f t="shared" si="6"/>
        <v>124.72376000000001</v>
      </c>
      <c r="M44" s="207">
        <f t="shared" si="7"/>
        <v>188.7</v>
      </c>
      <c r="N44" s="249">
        <f t="shared" si="8"/>
        <v>0</v>
      </c>
      <c r="O44" s="249">
        <f t="shared" si="9"/>
        <v>63.976239999999976</v>
      </c>
      <c r="P44" s="31">
        <v>0</v>
      </c>
      <c r="Q44" s="31">
        <f t="shared" si="10"/>
        <v>2211.5262400000001</v>
      </c>
      <c r="R44" s="31"/>
    </row>
    <row r="45" spans="1:22" ht="30" customHeight="1">
      <c r="A45" s="80">
        <v>17</v>
      </c>
      <c r="B45" s="62" t="s">
        <v>123</v>
      </c>
      <c r="C45" s="6" t="s">
        <v>35</v>
      </c>
      <c r="D45" s="7">
        <v>15</v>
      </c>
      <c r="E45" s="103">
        <v>2982.88</v>
      </c>
      <c r="F45" s="31">
        <f t="shared" si="11"/>
        <v>2982.88</v>
      </c>
      <c r="G45" s="204">
        <f t="shared" si="1"/>
        <v>2422.81</v>
      </c>
      <c r="H45" s="205">
        <f t="shared" si="2"/>
        <v>560.07000000000016</v>
      </c>
      <c r="I45" s="206">
        <f t="shared" si="3"/>
        <v>0.10879999999999999</v>
      </c>
      <c r="J45" s="205">
        <f t="shared" si="4"/>
        <v>60.935616000000017</v>
      </c>
      <c r="K45" s="207">
        <f t="shared" si="5"/>
        <v>142.19999999999999</v>
      </c>
      <c r="L45" s="205">
        <f t="shared" si="6"/>
        <v>203.135616</v>
      </c>
      <c r="M45" s="207">
        <f t="shared" si="7"/>
        <v>145.35</v>
      </c>
      <c r="N45" s="249">
        <f t="shared" si="8"/>
        <v>57.785616000000005</v>
      </c>
      <c r="O45" s="249">
        <f t="shared" si="9"/>
        <v>0</v>
      </c>
      <c r="P45" s="31">
        <v>0</v>
      </c>
      <c r="Q45" s="31">
        <f t="shared" si="10"/>
        <v>2925.094384</v>
      </c>
      <c r="R45" s="31"/>
    </row>
    <row r="46" spans="1:22" ht="30" customHeight="1">
      <c r="A46" s="80">
        <v>18</v>
      </c>
      <c r="B46" s="62" t="s">
        <v>152</v>
      </c>
      <c r="C46" s="6" t="s">
        <v>35</v>
      </c>
      <c r="D46" s="7">
        <v>15</v>
      </c>
      <c r="E46" s="103">
        <v>1957</v>
      </c>
      <c r="F46" s="31">
        <f t="shared" si="11"/>
        <v>1957</v>
      </c>
      <c r="G46" s="204">
        <f t="shared" si="1"/>
        <v>285.45999999999998</v>
      </c>
      <c r="H46" s="205">
        <f t="shared" si="2"/>
        <v>1671.54</v>
      </c>
      <c r="I46" s="206">
        <f t="shared" si="3"/>
        <v>6.4000000000000001E-2</v>
      </c>
      <c r="J46" s="205">
        <f t="shared" si="4"/>
        <v>106.97856</v>
      </c>
      <c r="K46" s="207">
        <f t="shared" si="5"/>
        <v>5.55</v>
      </c>
      <c r="L46" s="205">
        <f t="shared" si="6"/>
        <v>112.52856</v>
      </c>
      <c r="M46" s="207">
        <f t="shared" si="7"/>
        <v>188.7</v>
      </c>
      <c r="N46" s="249">
        <f t="shared" si="8"/>
        <v>0</v>
      </c>
      <c r="O46" s="249">
        <f t="shared" si="9"/>
        <v>76.17143999999999</v>
      </c>
      <c r="P46" s="31">
        <v>0</v>
      </c>
      <c r="Q46" s="31">
        <f t="shared" si="10"/>
        <v>2033.1714400000001</v>
      </c>
      <c r="R46" s="31"/>
    </row>
    <row r="47" spans="1:22" ht="30" customHeight="1">
      <c r="A47" s="80">
        <v>19</v>
      </c>
      <c r="B47" s="64" t="s">
        <v>148</v>
      </c>
      <c r="C47" s="23" t="s">
        <v>35</v>
      </c>
      <c r="D47" s="163">
        <v>15</v>
      </c>
      <c r="E47" s="103">
        <v>2237.16</v>
      </c>
      <c r="F47" s="31">
        <f t="shared" si="11"/>
        <v>2237.16</v>
      </c>
      <c r="G47" s="204">
        <f t="shared" si="1"/>
        <v>285.45999999999998</v>
      </c>
      <c r="H47" s="205">
        <f t="shared" si="2"/>
        <v>1951.6999999999998</v>
      </c>
      <c r="I47" s="206">
        <f t="shared" si="3"/>
        <v>6.4000000000000001E-2</v>
      </c>
      <c r="J47" s="205">
        <f t="shared" si="4"/>
        <v>124.90879999999999</v>
      </c>
      <c r="K47" s="207">
        <f t="shared" si="5"/>
        <v>5.55</v>
      </c>
      <c r="L47" s="205">
        <f t="shared" si="6"/>
        <v>130.4588</v>
      </c>
      <c r="M47" s="207">
        <f t="shared" si="7"/>
        <v>174.75</v>
      </c>
      <c r="N47" s="249">
        <f t="shared" si="8"/>
        <v>0</v>
      </c>
      <c r="O47" s="249">
        <f t="shared" si="9"/>
        <v>44.291200000000003</v>
      </c>
      <c r="P47" s="31">
        <v>0</v>
      </c>
      <c r="Q47" s="31">
        <f t="shared" si="10"/>
        <v>2281.4512</v>
      </c>
      <c r="R47" s="31"/>
    </row>
    <row r="48" spans="1:22" ht="30" customHeight="1">
      <c r="A48" s="80">
        <v>20</v>
      </c>
      <c r="B48" s="64" t="s">
        <v>210</v>
      </c>
      <c r="C48" s="23" t="s">
        <v>35</v>
      </c>
      <c r="D48" s="163">
        <v>15</v>
      </c>
      <c r="E48" s="103">
        <v>2022.92</v>
      </c>
      <c r="F48" s="31">
        <f t="shared" si="11"/>
        <v>2022.92</v>
      </c>
      <c r="G48" s="204">
        <f t="shared" si="1"/>
        <v>285.45999999999998</v>
      </c>
      <c r="H48" s="205">
        <f t="shared" si="2"/>
        <v>1737.46</v>
      </c>
      <c r="I48" s="206">
        <f t="shared" si="3"/>
        <v>6.4000000000000001E-2</v>
      </c>
      <c r="J48" s="205">
        <f t="shared" si="4"/>
        <v>111.19744</v>
      </c>
      <c r="K48" s="207">
        <f t="shared" si="5"/>
        <v>5.55</v>
      </c>
      <c r="L48" s="205">
        <f t="shared" si="6"/>
        <v>116.74744</v>
      </c>
      <c r="M48" s="207">
        <f t="shared" si="7"/>
        <v>188.7</v>
      </c>
      <c r="N48" s="249">
        <f t="shared" si="8"/>
        <v>0</v>
      </c>
      <c r="O48" s="249">
        <f t="shared" si="9"/>
        <v>71.952559999999991</v>
      </c>
      <c r="P48" s="31">
        <v>0</v>
      </c>
      <c r="Q48" s="31">
        <f t="shared" si="10"/>
        <v>2094.8725600000002</v>
      </c>
      <c r="R48" s="31"/>
      <c r="S48" s="298" t="s">
        <v>309</v>
      </c>
    </row>
    <row r="49" spans="1:241" ht="30" customHeight="1">
      <c r="A49" s="80">
        <v>21</v>
      </c>
      <c r="B49" s="64" t="s">
        <v>146</v>
      </c>
      <c r="C49" s="23" t="s">
        <v>35</v>
      </c>
      <c r="D49" s="163">
        <v>15</v>
      </c>
      <c r="E49" s="103">
        <v>2896</v>
      </c>
      <c r="F49" s="31">
        <f t="shared" si="11"/>
        <v>2896</v>
      </c>
      <c r="G49" s="204">
        <f t="shared" si="1"/>
        <v>2422.81</v>
      </c>
      <c r="H49" s="205">
        <f t="shared" si="2"/>
        <v>473.19000000000005</v>
      </c>
      <c r="I49" s="206">
        <f t="shared" si="3"/>
        <v>0.10879999999999999</v>
      </c>
      <c r="J49" s="205">
        <f t="shared" si="4"/>
        <v>51.483072</v>
      </c>
      <c r="K49" s="207">
        <f t="shared" si="5"/>
        <v>142.19999999999999</v>
      </c>
      <c r="L49" s="205">
        <f t="shared" si="6"/>
        <v>193.68307199999998</v>
      </c>
      <c r="M49" s="207">
        <f t="shared" si="7"/>
        <v>145.35</v>
      </c>
      <c r="N49" s="249">
        <f t="shared" si="8"/>
        <v>48.333071999999987</v>
      </c>
      <c r="O49" s="249">
        <f t="shared" si="9"/>
        <v>0</v>
      </c>
      <c r="P49" s="31">
        <v>0</v>
      </c>
      <c r="Q49" s="31">
        <f t="shared" si="10"/>
        <v>2847.6669280000001</v>
      </c>
      <c r="R49" s="31"/>
    </row>
    <row r="50" spans="1:241" ht="30" customHeight="1">
      <c r="A50" s="80">
        <v>22</v>
      </c>
      <c r="B50" s="65" t="s">
        <v>158</v>
      </c>
      <c r="C50" s="6" t="s">
        <v>41</v>
      </c>
      <c r="D50" s="7">
        <v>15</v>
      </c>
      <c r="E50" s="103">
        <v>2719</v>
      </c>
      <c r="F50" s="31">
        <f t="shared" si="11"/>
        <v>2719</v>
      </c>
      <c r="G50" s="204">
        <f t="shared" si="1"/>
        <v>2422.81</v>
      </c>
      <c r="H50" s="205">
        <f t="shared" si="2"/>
        <v>296.19000000000005</v>
      </c>
      <c r="I50" s="206">
        <f t="shared" si="3"/>
        <v>0.10879999999999999</v>
      </c>
      <c r="J50" s="205">
        <f t="shared" si="4"/>
        <v>32.225472000000003</v>
      </c>
      <c r="K50" s="207">
        <f t="shared" si="5"/>
        <v>142.19999999999999</v>
      </c>
      <c r="L50" s="205">
        <f t="shared" si="6"/>
        <v>174.42547199999998</v>
      </c>
      <c r="M50" s="207">
        <f t="shared" si="7"/>
        <v>145.35</v>
      </c>
      <c r="N50" s="249">
        <f t="shared" si="8"/>
        <v>29.075471999999991</v>
      </c>
      <c r="O50" s="249">
        <f t="shared" si="9"/>
        <v>0</v>
      </c>
      <c r="P50" s="31">
        <v>0</v>
      </c>
      <c r="Q50" s="31">
        <f t="shared" si="10"/>
        <v>2689.924528</v>
      </c>
      <c r="R50" s="31"/>
      <c r="T50" s="118"/>
      <c r="U50" s="118"/>
      <c r="V50" s="118"/>
      <c r="W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75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</row>
    <row r="51" spans="1:241" ht="30" customHeight="1">
      <c r="A51" s="80">
        <v>23</v>
      </c>
      <c r="B51" s="62" t="s">
        <v>120</v>
      </c>
      <c r="C51" s="6" t="s">
        <v>39</v>
      </c>
      <c r="D51" s="7">
        <v>15</v>
      </c>
      <c r="E51" s="103">
        <v>1449.21</v>
      </c>
      <c r="F51" s="31">
        <f t="shared" si="11"/>
        <v>1449.21</v>
      </c>
      <c r="G51" s="204">
        <f t="shared" si="1"/>
        <v>285.45999999999998</v>
      </c>
      <c r="H51" s="205">
        <f t="shared" si="2"/>
        <v>1163.75</v>
      </c>
      <c r="I51" s="206">
        <f t="shared" si="3"/>
        <v>6.4000000000000001E-2</v>
      </c>
      <c r="J51" s="205">
        <f t="shared" si="4"/>
        <v>74.48</v>
      </c>
      <c r="K51" s="207">
        <f t="shared" si="5"/>
        <v>5.55</v>
      </c>
      <c r="L51" s="205">
        <f t="shared" si="6"/>
        <v>80.03</v>
      </c>
      <c r="M51" s="207">
        <f t="shared" si="7"/>
        <v>200.7</v>
      </c>
      <c r="N51" s="249">
        <f t="shared" si="8"/>
        <v>0</v>
      </c>
      <c r="O51" s="249">
        <f t="shared" si="9"/>
        <v>120.66999999999999</v>
      </c>
      <c r="P51" s="31">
        <v>0</v>
      </c>
      <c r="Q51" s="31">
        <f t="shared" si="10"/>
        <v>1569.88</v>
      </c>
      <c r="R51" s="31"/>
    </row>
    <row r="52" spans="1:241" ht="30" customHeight="1">
      <c r="A52" s="80">
        <v>24</v>
      </c>
      <c r="B52" s="62" t="s">
        <v>121</v>
      </c>
      <c r="C52" s="6" t="s">
        <v>39</v>
      </c>
      <c r="D52" s="7">
        <v>15</v>
      </c>
      <c r="E52" s="103">
        <v>1449.21</v>
      </c>
      <c r="F52" s="31">
        <f t="shared" si="11"/>
        <v>1449.21</v>
      </c>
      <c r="G52" s="204">
        <f t="shared" si="1"/>
        <v>285.45999999999998</v>
      </c>
      <c r="H52" s="205">
        <f t="shared" si="2"/>
        <v>1163.75</v>
      </c>
      <c r="I52" s="206">
        <f t="shared" si="3"/>
        <v>6.4000000000000001E-2</v>
      </c>
      <c r="J52" s="205">
        <f t="shared" si="4"/>
        <v>74.48</v>
      </c>
      <c r="K52" s="207">
        <f t="shared" si="5"/>
        <v>5.55</v>
      </c>
      <c r="L52" s="205">
        <f t="shared" si="6"/>
        <v>80.03</v>
      </c>
      <c r="M52" s="207">
        <f t="shared" si="7"/>
        <v>200.7</v>
      </c>
      <c r="N52" s="249">
        <f t="shared" si="8"/>
        <v>0</v>
      </c>
      <c r="O52" s="249">
        <f t="shared" si="9"/>
        <v>120.66999999999999</v>
      </c>
      <c r="P52" s="31">
        <v>0</v>
      </c>
      <c r="Q52" s="31">
        <f t="shared" si="10"/>
        <v>1569.88</v>
      </c>
      <c r="R52" s="31"/>
    </row>
    <row r="53" spans="1:241" ht="30" customHeight="1">
      <c r="A53" s="80">
        <v>25</v>
      </c>
      <c r="B53" s="62" t="s">
        <v>64</v>
      </c>
      <c r="C53" s="6" t="s">
        <v>108</v>
      </c>
      <c r="D53" s="7">
        <v>15</v>
      </c>
      <c r="E53" s="103">
        <v>1718.04</v>
      </c>
      <c r="F53" s="31">
        <f t="shared" si="11"/>
        <v>1718.04</v>
      </c>
      <c r="G53" s="204">
        <f t="shared" si="1"/>
        <v>285.45999999999998</v>
      </c>
      <c r="H53" s="205">
        <f t="shared" si="2"/>
        <v>1432.58</v>
      </c>
      <c r="I53" s="206">
        <f t="shared" si="3"/>
        <v>6.4000000000000001E-2</v>
      </c>
      <c r="J53" s="205">
        <f t="shared" si="4"/>
        <v>91.685119999999998</v>
      </c>
      <c r="K53" s="207">
        <f t="shared" si="5"/>
        <v>5.55</v>
      </c>
      <c r="L53" s="205">
        <f t="shared" si="6"/>
        <v>97.235119999999995</v>
      </c>
      <c r="M53" s="207">
        <f t="shared" si="7"/>
        <v>193.8</v>
      </c>
      <c r="N53" s="249">
        <f t="shared" si="8"/>
        <v>0</v>
      </c>
      <c r="O53" s="249">
        <f t="shared" si="9"/>
        <v>96.564880000000016</v>
      </c>
      <c r="P53" s="31">
        <v>0</v>
      </c>
      <c r="Q53" s="31">
        <f t="shared" si="10"/>
        <v>1814.6048799999999</v>
      </c>
      <c r="R53" s="31"/>
    </row>
    <row r="54" spans="1:241" ht="30" customHeight="1">
      <c r="A54" s="80">
        <v>26</v>
      </c>
      <c r="B54" s="62" t="s">
        <v>217</v>
      </c>
      <c r="C54" s="6" t="s">
        <v>214</v>
      </c>
      <c r="D54" s="7">
        <v>15</v>
      </c>
      <c r="E54" s="191">
        <v>2254.67</v>
      </c>
      <c r="F54" s="31">
        <f t="shared" si="11"/>
        <v>2254.67</v>
      </c>
      <c r="G54" s="251">
        <f t="shared" si="1"/>
        <v>285.45999999999998</v>
      </c>
      <c r="H54" s="256">
        <f t="shared" si="2"/>
        <v>1969.21</v>
      </c>
      <c r="I54" s="257">
        <f t="shared" si="3"/>
        <v>6.4000000000000001E-2</v>
      </c>
      <c r="J54" s="256">
        <f t="shared" si="4"/>
        <v>126.02944000000001</v>
      </c>
      <c r="K54" s="258">
        <f t="shared" si="5"/>
        <v>5.55</v>
      </c>
      <c r="L54" s="256">
        <f t="shared" si="6"/>
        <v>131.57944000000001</v>
      </c>
      <c r="M54" s="258">
        <f t="shared" si="7"/>
        <v>174.75</v>
      </c>
      <c r="N54" s="249">
        <f t="shared" si="8"/>
        <v>0</v>
      </c>
      <c r="O54" s="249">
        <f t="shared" si="9"/>
        <v>43.170559999999995</v>
      </c>
      <c r="P54" s="31">
        <v>0</v>
      </c>
      <c r="Q54" s="31">
        <f t="shared" si="10"/>
        <v>2297.8405600000001</v>
      </c>
      <c r="R54" s="31"/>
    </row>
    <row r="55" spans="1:241" ht="30" customHeight="1">
      <c r="A55" s="266"/>
      <c r="B55" s="267"/>
      <c r="C55" s="118"/>
      <c r="D55" s="268"/>
      <c r="E55" s="269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</row>
    <row r="56" spans="1:241" ht="20.100000000000001" customHeight="1">
      <c r="A56" s="338" t="s">
        <v>12</v>
      </c>
      <c r="B56" s="338"/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/>
      <c r="P56" s="338"/>
      <c r="Q56" s="338"/>
      <c r="R56" s="338"/>
    </row>
    <row r="57" spans="1:241" ht="20.100000000000001" customHeight="1">
      <c r="A57" s="338" t="s">
        <v>238</v>
      </c>
      <c r="B57" s="338"/>
      <c r="C57" s="338"/>
      <c r="D57" s="338"/>
      <c r="E57" s="338"/>
      <c r="F57" s="338"/>
      <c r="G57" s="338"/>
      <c r="H57" s="338"/>
      <c r="I57" s="338"/>
      <c r="J57" s="338"/>
      <c r="K57" s="338"/>
      <c r="L57" s="338"/>
      <c r="M57" s="338"/>
      <c r="N57" s="338"/>
      <c r="O57" s="338"/>
      <c r="P57" s="338"/>
      <c r="Q57" s="338"/>
      <c r="R57" s="338"/>
    </row>
    <row r="58" spans="1:241" ht="20.100000000000001" customHeight="1">
      <c r="A58" s="340" t="str">
        <f>A4</f>
        <v>SUELDOS 2DA QUINCENA DE AGOSTO DE 2018</v>
      </c>
      <c r="B58" s="340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0"/>
      <c r="Q58" s="340"/>
      <c r="R58" s="340"/>
    </row>
    <row r="59" spans="1:241" ht="20.100000000000001" customHeight="1">
      <c r="A59" s="340" t="s">
        <v>228</v>
      </c>
      <c r="B59" s="340"/>
      <c r="C59" s="340"/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0"/>
      <c r="Q59" s="340"/>
      <c r="R59" s="340"/>
    </row>
    <row r="60" spans="1:241" ht="24" customHeight="1">
      <c r="A60" s="113"/>
      <c r="B60" s="113"/>
      <c r="C60" s="113"/>
      <c r="D60" s="105" t="s">
        <v>4</v>
      </c>
      <c r="E60" s="220" t="s">
        <v>0</v>
      </c>
      <c r="F60" s="221"/>
      <c r="G60" s="334" t="s">
        <v>290</v>
      </c>
      <c r="H60" s="335"/>
      <c r="I60" s="335"/>
      <c r="J60" s="335"/>
      <c r="K60" s="335"/>
      <c r="L60" s="335"/>
      <c r="M60" s="335"/>
      <c r="N60" s="335"/>
      <c r="O60" s="335"/>
      <c r="P60" s="108"/>
      <c r="Q60" s="105"/>
      <c r="R60" s="106"/>
    </row>
    <row r="61" spans="1:241" ht="27.75" customHeight="1">
      <c r="A61" s="105" t="s">
        <v>3</v>
      </c>
      <c r="B61" s="105"/>
      <c r="C61" s="175"/>
      <c r="D61" s="110" t="s">
        <v>5</v>
      </c>
      <c r="E61" s="107" t="s">
        <v>1</v>
      </c>
      <c r="F61" s="107" t="s">
        <v>227</v>
      </c>
      <c r="G61" s="334" t="s">
        <v>270</v>
      </c>
      <c r="H61" s="335"/>
      <c r="I61" s="335"/>
      <c r="J61" s="335"/>
      <c r="K61" s="335"/>
      <c r="L61" s="335"/>
      <c r="M61" s="335"/>
      <c r="N61" s="335"/>
      <c r="O61" s="336"/>
      <c r="P61" s="105" t="s">
        <v>244</v>
      </c>
      <c r="Q61" s="105" t="s">
        <v>230</v>
      </c>
      <c r="R61" s="109"/>
    </row>
    <row r="62" spans="1:241" ht="19.5" customHeight="1">
      <c r="A62" s="106"/>
      <c r="B62" s="111"/>
      <c r="C62" s="111" t="s">
        <v>10</v>
      </c>
      <c r="D62" s="105"/>
      <c r="E62" s="105" t="s">
        <v>7</v>
      </c>
      <c r="F62" s="105" t="s">
        <v>230</v>
      </c>
      <c r="G62" s="222" t="s">
        <v>272</v>
      </c>
      <c r="H62" s="222" t="s">
        <v>273</v>
      </c>
      <c r="I62" s="222" t="s">
        <v>282</v>
      </c>
      <c r="J62" s="222" t="s">
        <v>274</v>
      </c>
      <c r="K62" s="222" t="s">
        <v>275</v>
      </c>
      <c r="L62" s="222" t="s">
        <v>271</v>
      </c>
      <c r="M62" s="222" t="s">
        <v>283</v>
      </c>
      <c r="N62" s="223" t="s">
        <v>271</v>
      </c>
      <c r="O62" s="222" t="s">
        <v>286</v>
      </c>
      <c r="P62" s="105" t="s">
        <v>246</v>
      </c>
      <c r="Q62" s="105" t="s">
        <v>233</v>
      </c>
      <c r="R62" s="107" t="s">
        <v>236</v>
      </c>
    </row>
    <row r="63" spans="1:241" ht="22.5" customHeight="1">
      <c r="A63" s="105"/>
      <c r="B63" s="111" t="s">
        <v>89</v>
      </c>
      <c r="C63" s="111" t="s">
        <v>9</v>
      </c>
      <c r="D63" s="107"/>
      <c r="E63" s="107"/>
      <c r="F63" s="107"/>
      <c r="G63" s="224" t="s">
        <v>277</v>
      </c>
      <c r="H63" s="224" t="s">
        <v>278</v>
      </c>
      <c r="I63" s="224" t="s">
        <v>278</v>
      </c>
      <c r="J63" s="224" t="s">
        <v>279</v>
      </c>
      <c r="K63" s="224" t="s">
        <v>280</v>
      </c>
      <c r="L63" s="224" t="s">
        <v>281</v>
      </c>
      <c r="M63" s="224" t="s">
        <v>284</v>
      </c>
      <c r="N63" s="222" t="s">
        <v>276</v>
      </c>
      <c r="O63" s="224" t="s">
        <v>285</v>
      </c>
      <c r="P63" s="112"/>
      <c r="Q63" s="107"/>
      <c r="R63" s="107"/>
    </row>
    <row r="64" spans="1:241" ht="21.95" customHeight="1">
      <c r="A64" s="80"/>
      <c r="B64" s="63" t="s">
        <v>65</v>
      </c>
      <c r="C64" s="6"/>
      <c r="D64" s="7"/>
      <c r="E64" s="103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1"/>
      <c r="R64" s="31"/>
    </row>
    <row r="65" spans="1:21" ht="21.95" customHeight="1">
      <c r="A65" s="57">
        <v>27</v>
      </c>
      <c r="B65" s="66" t="s">
        <v>101</v>
      </c>
      <c r="C65" s="58" t="s">
        <v>102</v>
      </c>
      <c r="D65" s="59">
        <v>15</v>
      </c>
      <c r="E65" s="190">
        <v>2028.07</v>
      </c>
      <c r="F65" s="31">
        <f>(E65/15)*D65</f>
        <v>2028.07</v>
      </c>
      <c r="G65" s="204">
        <f>VLOOKUP(F65,$T$9:$W$19,1)</f>
        <v>285.45999999999998</v>
      </c>
      <c r="H65" s="205">
        <f>+F65-G65</f>
        <v>1742.61</v>
      </c>
      <c r="I65" s="206">
        <f>VLOOKUP(F65,$T$9:$W$19,4)</f>
        <v>6.4000000000000001E-2</v>
      </c>
      <c r="J65" s="205">
        <f>H65*I65</f>
        <v>111.52704</v>
      </c>
      <c r="K65" s="207">
        <f>VLOOKUP(F65,$T$9:$W$19,3)</f>
        <v>5.55</v>
      </c>
      <c r="L65" s="205">
        <f>+J65+K65</f>
        <v>117.07704</v>
      </c>
      <c r="M65" s="207">
        <f>VLOOKUP(F65,$T$26:$V$36,3)</f>
        <v>188.7</v>
      </c>
      <c r="N65" s="249">
        <f>IF(L65-M65&gt;0,L65-M65,0)</f>
        <v>0</v>
      </c>
      <c r="O65" s="249">
        <f>IF(M65-L65&gt;0,M65-L65,0)</f>
        <v>71.622959999999992</v>
      </c>
      <c r="P65" s="31">
        <v>0</v>
      </c>
      <c r="Q65" s="31">
        <f>+F65-N65+O65-P65</f>
        <v>2099.6929599999999</v>
      </c>
      <c r="R65" s="31"/>
      <c r="S65" s="298" t="s">
        <v>310</v>
      </c>
    </row>
    <row r="66" spans="1:21" ht="21.95" customHeight="1">
      <c r="A66" s="5"/>
      <c r="B66" s="63" t="s">
        <v>51</v>
      </c>
      <c r="C66" s="6"/>
      <c r="D66" s="7"/>
      <c r="E66" s="103"/>
      <c r="F66" s="31"/>
      <c r="G66" s="32"/>
      <c r="H66" s="32"/>
      <c r="I66" s="32"/>
      <c r="J66" s="32"/>
      <c r="K66" s="32"/>
      <c r="L66" s="32"/>
      <c r="M66" s="32"/>
      <c r="N66" s="137"/>
      <c r="O66" s="137"/>
      <c r="P66" s="32"/>
      <c r="Q66" s="31"/>
      <c r="R66" s="31"/>
    </row>
    <row r="67" spans="1:21" ht="21.95" customHeight="1">
      <c r="A67" s="5">
        <v>28</v>
      </c>
      <c r="B67" s="62" t="s">
        <v>118</v>
      </c>
      <c r="C67" s="6" t="s">
        <v>39</v>
      </c>
      <c r="D67" s="7">
        <v>15</v>
      </c>
      <c r="E67" s="103">
        <v>681.86</v>
      </c>
      <c r="F67" s="31">
        <f t="shared" ref="F67:F86" si="12">(E67/15)*D67</f>
        <v>681.86</v>
      </c>
      <c r="G67" s="204">
        <f t="shared" ref="G67:G76" si="13">VLOOKUP(F67,$T$9:$W$19,1)</f>
        <v>285.45999999999998</v>
      </c>
      <c r="H67" s="205">
        <f t="shared" ref="H67:H76" si="14">+F67-G67</f>
        <v>396.40000000000003</v>
      </c>
      <c r="I67" s="206">
        <f t="shared" ref="I67:I76" si="15">VLOOKUP(F67,$T$9:$W$19,4)</f>
        <v>6.4000000000000001E-2</v>
      </c>
      <c r="J67" s="205">
        <f t="shared" ref="J67:J76" si="16">H67*I67</f>
        <v>25.369600000000002</v>
      </c>
      <c r="K67" s="207">
        <f t="shared" ref="K67:K76" si="17">VLOOKUP(F67,$T$9:$W$19,3)</f>
        <v>5.55</v>
      </c>
      <c r="L67" s="205">
        <f t="shared" ref="L67:L76" si="18">+J67+K67</f>
        <v>30.919600000000003</v>
      </c>
      <c r="M67" s="207">
        <f t="shared" ref="M67:M76" si="19">VLOOKUP(F67,$T$26:$V$36,3)</f>
        <v>200.85</v>
      </c>
      <c r="N67" s="249">
        <f t="shared" ref="N67:N76" si="20">IF(L67-M67&gt;0,L67-M67,0)</f>
        <v>0</v>
      </c>
      <c r="O67" s="249">
        <f t="shared" ref="O67:O76" si="21">IF(M67-L67&gt;0,M67-L67,0)</f>
        <v>169.93039999999999</v>
      </c>
      <c r="P67" s="32">
        <v>0</v>
      </c>
      <c r="Q67" s="31">
        <f t="shared" ref="Q67:Q76" si="22">+F67-N67+O67-P67</f>
        <v>851.79039999999998</v>
      </c>
      <c r="R67" s="31"/>
    </row>
    <row r="68" spans="1:21" ht="30" customHeight="1">
      <c r="A68" s="5">
        <v>29</v>
      </c>
      <c r="B68" s="62" t="s">
        <v>199</v>
      </c>
      <c r="C68" s="6" t="s">
        <v>39</v>
      </c>
      <c r="D68" s="7">
        <v>15</v>
      </c>
      <c r="E68" s="103">
        <v>681.86</v>
      </c>
      <c r="F68" s="31">
        <f t="shared" si="12"/>
        <v>681.86</v>
      </c>
      <c r="G68" s="204">
        <f t="shared" si="13"/>
        <v>285.45999999999998</v>
      </c>
      <c r="H68" s="205">
        <f t="shared" si="14"/>
        <v>396.40000000000003</v>
      </c>
      <c r="I68" s="206">
        <f t="shared" si="15"/>
        <v>6.4000000000000001E-2</v>
      </c>
      <c r="J68" s="205">
        <f t="shared" si="16"/>
        <v>25.369600000000002</v>
      </c>
      <c r="K68" s="207">
        <f t="shared" si="17"/>
        <v>5.55</v>
      </c>
      <c r="L68" s="205">
        <f t="shared" si="18"/>
        <v>30.919600000000003</v>
      </c>
      <c r="M68" s="207">
        <f t="shared" si="19"/>
        <v>200.85</v>
      </c>
      <c r="N68" s="249">
        <f t="shared" si="20"/>
        <v>0</v>
      </c>
      <c r="O68" s="249">
        <f t="shared" si="21"/>
        <v>169.93039999999999</v>
      </c>
      <c r="P68" s="32">
        <v>0</v>
      </c>
      <c r="Q68" s="31">
        <f t="shared" si="22"/>
        <v>851.79039999999998</v>
      </c>
      <c r="R68" s="31"/>
    </row>
    <row r="69" spans="1:21" ht="30" customHeight="1">
      <c r="A69" s="5">
        <v>30</v>
      </c>
      <c r="B69" s="62" t="s">
        <v>66</v>
      </c>
      <c r="C69" s="6" t="s">
        <v>39</v>
      </c>
      <c r="D69" s="7">
        <v>15</v>
      </c>
      <c r="E69" s="103">
        <v>681.86</v>
      </c>
      <c r="F69" s="31">
        <f t="shared" si="12"/>
        <v>681.86</v>
      </c>
      <c r="G69" s="204">
        <f t="shared" si="13"/>
        <v>285.45999999999998</v>
      </c>
      <c r="H69" s="205">
        <f t="shared" si="14"/>
        <v>396.40000000000003</v>
      </c>
      <c r="I69" s="206">
        <f t="shared" si="15"/>
        <v>6.4000000000000001E-2</v>
      </c>
      <c r="J69" s="205">
        <f t="shared" si="16"/>
        <v>25.369600000000002</v>
      </c>
      <c r="K69" s="207">
        <f t="shared" si="17"/>
        <v>5.55</v>
      </c>
      <c r="L69" s="205">
        <f t="shared" si="18"/>
        <v>30.919600000000003</v>
      </c>
      <c r="M69" s="207">
        <f t="shared" si="19"/>
        <v>200.85</v>
      </c>
      <c r="N69" s="249">
        <f t="shared" si="20"/>
        <v>0</v>
      </c>
      <c r="O69" s="249">
        <f t="shared" si="21"/>
        <v>169.93039999999999</v>
      </c>
      <c r="P69" s="32">
        <v>0</v>
      </c>
      <c r="Q69" s="31">
        <f t="shared" si="22"/>
        <v>851.79039999999998</v>
      </c>
      <c r="R69" s="31"/>
    </row>
    <row r="70" spans="1:21" ht="30" customHeight="1">
      <c r="A70" s="5">
        <v>31</v>
      </c>
      <c r="B70" s="62" t="s">
        <v>153</v>
      </c>
      <c r="C70" s="6" t="s">
        <v>39</v>
      </c>
      <c r="D70" s="7">
        <v>15</v>
      </c>
      <c r="E70" s="103">
        <v>681.86</v>
      </c>
      <c r="F70" s="31">
        <f t="shared" si="12"/>
        <v>681.86</v>
      </c>
      <c r="G70" s="204">
        <f t="shared" si="13"/>
        <v>285.45999999999998</v>
      </c>
      <c r="H70" s="205">
        <f t="shared" si="14"/>
        <v>396.40000000000003</v>
      </c>
      <c r="I70" s="206">
        <f t="shared" si="15"/>
        <v>6.4000000000000001E-2</v>
      </c>
      <c r="J70" s="205">
        <f t="shared" si="16"/>
        <v>25.369600000000002</v>
      </c>
      <c r="K70" s="207">
        <f t="shared" si="17"/>
        <v>5.55</v>
      </c>
      <c r="L70" s="205">
        <f t="shared" si="18"/>
        <v>30.919600000000003</v>
      </c>
      <c r="M70" s="207">
        <f t="shared" si="19"/>
        <v>200.85</v>
      </c>
      <c r="N70" s="249">
        <f t="shared" si="20"/>
        <v>0</v>
      </c>
      <c r="O70" s="249">
        <f t="shared" si="21"/>
        <v>169.93039999999999</v>
      </c>
      <c r="P70" s="32">
        <v>0</v>
      </c>
      <c r="Q70" s="31">
        <f t="shared" si="22"/>
        <v>851.79039999999998</v>
      </c>
      <c r="R70" s="31"/>
    </row>
    <row r="71" spans="1:21" ht="30" customHeight="1">
      <c r="A71" s="5">
        <v>32</v>
      </c>
      <c r="B71" s="62" t="s">
        <v>201</v>
      </c>
      <c r="C71" s="6" t="s">
        <v>43</v>
      </c>
      <c r="D71" s="7">
        <v>15</v>
      </c>
      <c r="E71" s="103">
        <v>681.86</v>
      </c>
      <c r="F71" s="31">
        <f t="shared" si="12"/>
        <v>681.86</v>
      </c>
      <c r="G71" s="204">
        <f t="shared" si="13"/>
        <v>285.45999999999998</v>
      </c>
      <c r="H71" s="205">
        <f t="shared" si="14"/>
        <v>396.40000000000003</v>
      </c>
      <c r="I71" s="206">
        <f t="shared" si="15"/>
        <v>6.4000000000000001E-2</v>
      </c>
      <c r="J71" s="205">
        <f t="shared" si="16"/>
        <v>25.369600000000002</v>
      </c>
      <c r="K71" s="207">
        <f t="shared" si="17"/>
        <v>5.55</v>
      </c>
      <c r="L71" s="205">
        <f t="shared" si="18"/>
        <v>30.919600000000003</v>
      </c>
      <c r="M71" s="207">
        <f t="shared" si="19"/>
        <v>200.85</v>
      </c>
      <c r="N71" s="249">
        <f t="shared" si="20"/>
        <v>0</v>
      </c>
      <c r="O71" s="249">
        <f t="shared" si="21"/>
        <v>169.93039999999999</v>
      </c>
      <c r="P71" s="32">
        <v>0</v>
      </c>
      <c r="Q71" s="31">
        <f t="shared" si="22"/>
        <v>851.79039999999998</v>
      </c>
      <c r="R71" s="31"/>
    </row>
    <row r="72" spans="1:21" ht="30" customHeight="1">
      <c r="A72" s="5">
        <v>33</v>
      </c>
      <c r="B72" s="62" t="s">
        <v>200</v>
      </c>
      <c r="C72" s="6" t="s">
        <v>39</v>
      </c>
      <c r="D72" s="7">
        <v>15</v>
      </c>
      <c r="E72" s="103">
        <v>681.86</v>
      </c>
      <c r="F72" s="31">
        <f t="shared" si="12"/>
        <v>681.86</v>
      </c>
      <c r="G72" s="204">
        <f t="shared" si="13"/>
        <v>285.45999999999998</v>
      </c>
      <c r="H72" s="205">
        <f t="shared" si="14"/>
        <v>396.40000000000003</v>
      </c>
      <c r="I72" s="206">
        <f t="shared" si="15"/>
        <v>6.4000000000000001E-2</v>
      </c>
      <c r="J72" s="205">
        <f t="shared" si="16"/>
        <v>25.369600000000002</v>
      </c>
      <c r="K72" s="207">
        <f t="shared" si="17"/>
        <v>5.55</v>
      </c>
      <c r="L72" s="205">
        <f t="shared" si="18"/>
        <v>30.919600000000003</v>
      </c>
      <c r="M72" s="207">
        <f t="shared" si="19"/>
        <v>200.85</v>
      </c>
      <c r="N72" s="249">
        <f t="shared" si="20"/>
        <v>0</v>
      </c>
      <c r="O72" s="249">
        <f t="shared" si="21"/>
        <v>169.93039999999999</v>
      </c>
      <c r="P72" s="32">
        <v>0</v>
      </c>
      <c r="Q72" s="31">
        <f t="shared" si="22"/>
        <v>851.79039999999998</v>
      </c>
      <c r="R72" s="31"/>
    </row>
    <row r="73" spans="1:21" ht="30" customHeight="1">
      <c r="A73" s="5">
        <v>34</v>
      </c>
      <c r="B73" s="64" t="s">
        <v>154</v>
      </c>
      <c r="C73" s="23" t="s">
        <v>155</v>
      </c>
      <c r="D73" s="163">
        <v>15</v>
      </c>
      <c r="E73" s="103">
        <v>681.86</v>
      </c>
      <c r="F73" s="31">
        <f t="shared" si="12"/>
        <v>681.86</v>
      </c>
      <c r="G73" s="204">
        <f t="shared" si="13"/>
        <v>285.45999999999998</v>
      </c>
      <c r="H73" s="205">
        <f t="shared" si="14"/>
        <v>396.40000000000003</v>
      </c>
      <c r="I73" s="206">
        <f t="shared" si="15"/>
        <v>6.4000000000000001E-2</v>
      </c>
      <c r="J73" s="205">
        <f t="shared" si="16"/>
        <v>25.369600000000002</v>
      </c>
      <c r="K73" s="207">
        <f t="shared" si="17"/>
        <v>5.55</v>
      </c>
      <c r="L73" s="205">
        <f t="shared" si="18"/>
        <v>30.919600000000003</v>
      </c>
      <c r="M73" s="207">
        <f t="shared" si="19"/>
        <v>200.85</v>
      </c>
      <c r="N73" s="249">
        <f t="shared" si="20"/>
        <v>0</v>
      </c>
      <c r="O73" s="249">
        <f t="shared" si="21"/>
        <v>169.93039999999999</v>
      </c>
      <c r="P73" s="31">
        <v>0</v>
      </c>
      <c r="Q73" s="31">
        <f t="shared" si="22"/>
        <v>851.79039999999998</v>
      </c>
      <c r="R73" s="31"/>
    </row>
    <row r="74" spans="1:21" ht="30" customHeight="1">
      <c r="A74" s="5">
        <v>35</v>
      </c>
      <c r="B74" s="64" t="s">
        <v>116</v>
      </c>
      <c r="C74" s="23" t="s">
        <v>67</v>
      </c>
      <c r="D74" s="163">
        <v>15</v>
      </c>
      <c r="E74" s="103">
        <v>728.21</v>
      </c>
      <c r="F74" s="31">
        <f t="shared" si="12"/>
        <v>728.21</v>
      </c>
      <c r="G74" s="204">
        <f t="shared" si="13"/>
        <v>285.45999999999998</v>
      </c>
      <c r="H74" s="205">
        <f t="shared" si="14"/>
        <v>442.75000000000006</v>
      </c>
      <c r="I74" s="206">
        <f t="shared" si="15"/>
        <v>6.4000000000000001E-2</v>
      </c>
      <c r="J74" s="205">
        <f t="shared" si="16"/>
        <v>28.336000000000006</v>
      </c>
      <c r="K74" s="207">
        <f t="shared" si="17"/>
        <v>5.55</v>
      </c>
      <c r="L74" s="205">
        <f t="shared" si="18"/>
        <v>33.886000000000003</v>
      </c>
      <c r="M74" s="207">
        <f t="shared" si="19"/>
        <v>200.85</v>
      </c>
      <c r="N74" s="249">
        <f t="shared" si="20"/>
        <v>0</v>
      </c>
      <c r="O74" s="249">
        <f t="shared" si="21"/>
        <v>166.964</v>
      </c>
      <c r="P74" s="31">
        <v>0</v>
      </c>
      <c r="Q74" s="31">
        <f t="shared" si="22"/>
        <v>895.17399999999998</v>
      </c>
      <c r="R74" s="31"/>
    </row>
    <row r="75" spans="1:21" ht="30" customHeight="1">
      <c r="A75" s="5">
        <v>36</v>
      </c>
      <c r="B75" s="64" t="s">
        <v>202</v>
      </c>
      <c r="C75" s="23" t="s">
        <v>207</v>
      </c>
      <c r="D75" s="163">
        <v>15</v>
      </c>
      <c r="E75" s="103">
        <v>695.25</v>
      </c>
      <c r="F75" s="31">
        <f t="shared" si="12"/>
        <v>695.25</v>
      </c>
      <c r="G75" s="204">
        <f t="shared" si="13"/>
        <v>285.45999999999998</v>
      </c>
      <c r="H75" s="205">
        <f t="shared" si="14"/>
        <v>409.79</v>
      </c>
      <c r="I75" s="206">
        <f t="shared" si="15"/>
        <v>6.4000000000000001E-2</v>
      </c>
      <c r="J75" s="205">
        <f t="shared" si="16"/>
        <v>26.226560000000003</v>
      </c>
      <c r="K75" s="207">
        <f t="shared" si="17"/>
        <v>5.55</v>
      </c>
      <c r="L75" s="205">
        <f t="shared" si="18"/>
        <v>31.776560000000003</v>
      </c>
      <c r="M75" s="207">
        <f t="shared" si="19"/>
        <v>200.85</v>
      </c>
      <c r="N75" s="249">
        <f t="shared" si="20"/>
        <v>0</v>
      </c>
      <c r="O75" s="249">
        <f t="shared" si="21"/>
        <v>169.07344000000001</v>
      </c>
      <c r="P75" s="31">
        <v>0</v>
      </c>
      <c r="Q75" s="31">
        <f t="shared" si="22"/>
        <v>864.32344000000001</v>
      </c>
      <c r="R75" s="31"/>
    </row>
    <row r="76" spans="1:21" ht="30" customHeight="1">
      <c r="A76" s="5">
        <v>37</v>
      </c>
      <c r="B76" s="64" t="s">
        <v>255</v>
      </c>
      <c r="C76" s="23" t="s">
        <v>39</v>
      </c>
      <c r="D76" s="163">
        <v>15</v>
      </c>
      <c r="E76" s="103">
        <v>606.66999999999996</v>
      </c>
      <c r="F76" s="31">
        <f t="shared" si="12"/>
        <v>606.66999999999996</v>
      </c>
      <c r="G76" s="204">
        <f t="shared" si="13"/>
        <v>285.45999999999998</v>
      </c>
      <c r="H76" s="205">
        <f t="shared" si="14"/>
        <v>321.20999999999998</v>
      </c>
      <c r="I76" s="206">
        <f t="shared" si="15"/>
        <v>6.4000000000000001E-2</v>
      </c>
      <c r="J76" s="205">
        <f t="shared" si="16"/>
        <v>20.55744</v>
      </c>
      <c r="K76" s="207">
        <f t="shared" si="17"/>
        <v>5.55</v>
      </c>
      <c r="L76" s="205">
        <f t="shared" si="18"/>
        <v>26.10744</v>
      </c>
      <c r="M76" s="207">
        <f t="shared" si="19"/>
        <v>200.85</v>
      </c>
      <c r="N76" s="249">
        <f t="shared" si="20"/>
        <v>0</v>
      </c>
      <c r="O76" s="249">
        <f t="shared" si="21"/>
        <v>174.74256</v>
      </c>
      <c r="P76" s="31">
        <v>0</v>
      </c>
      <c r="Q76" s="31">
        <f t="shared" si="22"/>
        <v>781.41255999999998</v>
      </c>
      <c r="R76" s="31"/>
    </row>
    <row r="77" spans="1:21" ht="30" customHeight="1">
      <c r="A77" s="5"/>
      <c r="B77" s="278" t="s">
        <v>68</v>
      </c>
      <c r="C77" s="23"/>
      <c r="D77" s="163"/>
      <c r="E77" s="103"/>
      <c r="F77" s="31"/>
      <c r="G77" s="31"/>
      <c r="H77" s="31"/>
      <c r="I77" s="31"/>
      <c r="J77" s="31"/>
      <c r="K77" s="31"/>
      <c r="L77" s="31"/>
      <c r="M77" s="31"/>
      <c r="N77" s="131"/>
      <c r="O77" s="131"/>
      <c r="P77" s="31"/>
      <c r="Q77" s="31"/>
      <c r="R77" s="31"/>
    </row>
    <row r="78" spans="1:21" s="13" customFormat="1" ht="45.6" customHeight="1">
      <c r="A78" s="176">
        <v>38</v>
      </c>
      <c r="B78" s="64" t="s">
        <v>69</v>
      </c>
      <c r="C78" s="23" t="s">
        <v>70</v>
      </c>
      <c r="D78" s="163">
        <v>15</v>
      </c>
      <c r="E78" s="103">
        <v>722.03</v>
      </c>
      <c r="F78" s="31">
        <f t="shared" si="12"/>
        <v>722.03</v>
      </c>
      <c r="G78" s="204">
        <f>VLOOKUP(F78,$T$9:$W$19,1)</f>
        <v>285.45999999999998</v>
      </c>
      <c r="H78" s="205">
        <f>+F78-G78</f>
        <v>436.57</v>
      </c>
      <c r="I78" s="206">
        <f>VLOOKUP(F78,$T$9:$W$19,4)</f>
        <v>6.4000000000000001E-2</v>
      </c>
      <c r="J78" s="205">
        <f>H78*I78</f>
        <v>27.940480000000001</v>
      </c>
      <c r="K78" s="207">
        <f>VLOOKUP(F78,$T$9:$W$19,3)</f>
        <v>5.55</v>
      </c>
      <c r="L78" s="205">
        <f>+J78+K78</f>
        <v>33.490479999999998</v>
      </c>
      <c r="M78" s="207">
        <f>VLOOKUP(F78,$T$26:$V$36,3)</f>
        <v>200.85</v>
      </c>
      <c r="N78" s="249">
        <f>IF(L78-M78&gt;0,L78-M78,0)</f>
        <v>0</v>
      </c>
      <c r="O78" s="249">
        <f>IF(M78-L78&gt;0,M78-L78,0)</f>
        <v>167.35952</v>
      </c>
      <c r="P78" s="31">
        <v>0</v>
      </c>
      <c r="Q78" s="31">
        <f>+F78-N78+O78-P78</f>
        <v>889.38951999999995</v>
      </c>
      <c r="R78" s="31"/>
      <c r="S78" s="299"/>
    </row>
    <row r="79" spans="1:21" ht="36.75" customHeight="1">
      <c r="A79" s="176">
        <v>39</v>
      </c>
      <c r="B79" s="64" t="s">
        <v>257</v>
      </c>
      <c r="C79" s="23" t="s">
        <v>258</v>
      </c>
      <c r="D79" s="163">
        <v>15</v>
      </c>
      <c r="E79" s="103">
        <v>2583.2399999999998</v>
      </c>
      <c r="F79" s="31">
        <f t="shared" si="12"/>
        <v>2583.2399999999998</v>
      </c>
      <c r="G79" s="204">
        <f>VLOOKUP(F79,$T$9:$W$19,1)</f>
        <v>2422.81</v>
      </c>
      <c r="H79" s="205">
        <f>+F79-G79</f>
        <v>160.42999999999984</v>
      </c>
      <c r="I79" s="206">
        <f>VLOOKUP(F79,$T$9:$W$19,4)</f>
        <v>0.10879999999999999</v>
      </c>
      <c r="J79" s="205">
        <f>H79*I79</f>
        <v>17.454783999999982</v>
      </c>
      <c r="K79" s="207">
        <f>VLOOKUP(F79,$T$9:$W$19,3)</f>
        <v>142.19999999999999</v>
      </c>
      <c r="L79" s="205">
        <f>+J79+K79</f>
        <v>159.65478399999998</v>
      </c>
      <c r="M79" s="207">
        <f>VLOOKUP(F79,$T$26:$V$36,3)</f>
        <v>160.35</v>
      </c>
      <c r="N79" s="249">
        <f>IF(L79-M79&gt;0,L79-M79,0)</f>
        <v>0</v>
      </c>
      <c r="O79" s="249">
        <f>IF(M79-L79&gt;0,M79-L79,0)</f>
        <v>0.69521600000001627</v>
      </c>
      <c r="P79" s="31">
        <v>0</v>
      </c>
      <c r="Q79" s="31">
        <f>+F79-N79+O79-P79</f>
        <v>2583.9352159999999</v>
      </c>
      <c r="R79" s="31"/>
    </row>
    <row r="80" spans="1:21" ht="30" customHeight="1">
      <c r="A80" s="5">
        <v>40</v>
      </c>
      <c r="B80" s="64" t="s">
        <v>216</v>
      </c>
      <c r="C80" s="23" t="s">
        <v>215</v>
      </c>
      <c r="D80" s="163">
        <v>15</v>
      </c>
      <c r="E80" s="119">
        <v>2147.5500000000002</v>
      </c>
      <c r="F80" s="31">
        <f t="shared" si="12"/>
        <v>2147.5500000000002</v>
      </c>
      <c r="G80" s="204">
        <f>VLOOKUP(F80,$T$9:$W$19,1)</f>
        <v>285.45999999999998</v>
      </c>
      <c r="H80" s="205">
        <f>+F80-G80</f>
        <v>1862.0900000000001</v>
      </c>
      <c r="I80" s="206">
        <f>VLOOKUP(F80,$T$9:$W$19,4)</f>
        <v>6.4000000000000001E-2</v>
      </c>
      <c r="J80" s="205">
        <f>H80*I80</f>
        <v>119.17376000000002</v>
      </c>
      <c r="K80" s="207">
        <f>VLOOKUP(F80,$T$9:$W$19,3)</f>
        <v>5.55</v>
      </c>
      <c r="L80" s="205">
        <f>+J80+K80</f>
        <v>124.72376000000001</v>
      </c>
      <c r="M80" s="207">
        <f>VLOOKUP(F80,$T$26:$V$36,3)</f>
        <v>188.7</v>
      </c>
      <c r="N80" s="249">
        <f>IF(L80-M80&gt;0,L80-M80,0)</f>
        <v>0</v>
      </c>
      <c r="O80" s="249">
        <f>IF(M80-L80&gt;0,M80-L80,0)</f>
        <v>63.976239999999976</v>
      </c>
      <c r="P80" s="31">
        <v>0</v>
      </c>
      <c r="Q80" s="31">
        <f>+F80-N80+O80-P80</f>
        <v>2211.5262400000001</v>
      </c>
      <c r="R80" s="31"/>
      <c r="U80" s="1">
        <f>2153.9/15</f>
        <v>143.59333333333333</v>
      </c>
    </row>
    <row r="81" spans="1:21" ht="30" customHeight="1">
      <c r="A81" s="5"/>
      <c r="B81" s="278" t="s">
        <v>119</v>
      </c>
      <c r="C81" s="23"/>
      <c r="D81" s="163"/>
      <c r="E81" s="103"/>
      <c r="F81" s="31"/>
      <c r="G81" s="31"/>
      <c r="H81" s="31"/>
      <c r="I81" s="31"/>
      <c r="J81" s="31"/>
      <c r="K81" s="31"/>
      <c r="L81" s="31"/>
      <c r="M81" s="31"/>
      <c r="N81" s="131"/>
      <c r="O81" s="131"/>
      <c r="P81" s="31"/>
      <c r="Q81" s="31"/>
      <c r="R81" s="31"/>
    </row>
    <row r="82" spans="1:21" ht="30" customHeight="1">
      <c r="A82" s="5">
        <v>41</v>
      </c>
      <c r="B82" s="64" t="s">
        <v>144</v>
      </c>
      <c r="C82" s="23" t="s">
        <v>145</v>
      </c>
      <c r="D82" s="163">
        <v>15</v>
      </c>
      <c r="E82" s="103">
        <v>1984.81</v>
      </c>
      <c r="F82" s="31">
        <f t="shared" si="12"/>
        <v>1984.8099999999997</v>
      </c>
      <c r="G82" s="204">
        <f>VLOOKUP(F82,$T$9:$W$19,1)</f>
        <v>285.45999999999998</v>
      </c>
      <c r="H82" s="205">
        <f>+F82-G82</f>
        <v>1699.3499999999997</v>
      </c>
      <c r="I82" s="206">
        <f>VLOOKUP(F82,$T$9:$W$19,4)</f>
        <v>6.4000000000000001E-2</v>
      </c>
      <c r="J82" s="205">
        <f>H82*I82</f>
        <v>108.75839999999998</v>
      </c>
      <c r="K82" s="207">
        <f>VLOOKUP(F82,$T$9:$W$19,3)</f>
        <v>5.55</v>
      </c>
      <c r="L82" s="205">
        <f>+J82+K82</f>
        <v>114.30839999999998</v>
      </c>
      <c r="M82" s="207">
        <f>VLOOKUP(F82,$T$26:$V$36,3)</f>
        <v>188.7</v>
      </c>
      <c r="N82" s="249">
        <f>IF(L82-M82&gt;0,L82-M82,0)</f>
        <v>0</v>
      </c>
      <c r="O82" s="249">
        <f>IF(M82-L82&gt;0,M82-L82,0)</f>
        <v>74.391600000000011</v>
      </c>
      <c r="P82" s="31">
        <v>0</v>
      </c>
      <c r="Q82" s="31">
        <f>+F82-N82+O82-P82</f>
        <v>2059.2015999999999</v>
      </c>
      <c r="R82" s="31"/>
      <c r="S82" s="298" t="s">
        <v>309</v>
      </c>
      <c r="U82" s="1">
        <f>143.59*11</f>
        <v>1579.49</v>
      </c>
    </row>
    <row r="83" spans="1:21" ht="30" customHeight="1">
      <c r="A83" s="5">
        <v>42</v>
      </c>
      <c r="B83" s="62" t="s">
        <v>206</v>
      </c>
      <c r="C83" s="6" t="s">
        <v>18</v>
      </c>
      <c r="D83" s="7">
        <v>15</v>
      </c>
      <c r="E83" s="103">
        <v>1761.3</v>
      </c>
      <c r="F83" s="31">
        <f t="shared" si="12"/>
        <v>1761.3</v>
      </c>
      <c r="G83" s="204">
        <f>VLOOKUP(F83,$T$9:$W$19,1)</f>
        <v>285.45999999999998</v>
      </c>
      <c r="H83" s="205">
        <f>+F83-G83</f>
        <v>1475.84</v>
      </c>
      <c r="I83" s="206">
        <f>VLOOKUP(F83,$T$9:$W$19,4)</f>
        <v>6.4000000000000001E-2</v>
      </c>
      <c r="J83" s="205">
        <f>H83*I83</f>
        <v>94.453760000000003</v>
      </c>
      <c r="K83" s="207">
        <f>VLOOKUP(F83,$T$9:$W$19,3)</f>
        <v>5.55</v>
      </c>
      <c r="L83" s="205">
        <f>+J83+K83</f>
        <v>100.00376</v>
      </c>
      <c r="M83" s="207">
        <f>VLOOKUP(F83,$T$26:$V$36,3)</f>
        <v>188.7</v>
      </c>
      <c r="N83" s="249">
        <f>IF(L83-M83&gt;0,L83-M83,0)</f>
        <v>0</v>
      </c>
      <c r="O83" s="249">
        <f>IF(M83-L83&gt;0,M83-L83,0)</f>
        <v>88.696239999999989</v>
      </c>
      <c r="P83" s="32">
        <v>0</v>
      </c>
      <c r="Q83" s="31">
        <f>+F83-N83+O83-P83</f>
        <v>1849.9962399999999</v>
      </c>
      <c r="R83" s="31"/>
    </row>
    <row r="84" spans="1:21" ht="30" customHeight="1">
      <c r="A84" s="5">
        <v>43</v>
      </c>
      <c r="B84" s="62" t="s">
        <v>124</v>
      </c>
      <c r="C84" s="6" t="s">
        <v>122</v>
      </c>
      <c r="D84" s="7">
        <v>15</v>
      </c>
      <c r="E84" s="103">
        <v>2575</v>
      </c>
      <c r="F84" s="31">
        <f t="shared" si="12"/>
        <v>2575</v>
      </c>
      <c r="G84" s="204">
        <f>VLOOKUP(F84,$T$9:$W$19,1)</f>
        <v>2422.81</v>
      </c>
      <c r="H84" s="205">
        <f>+F84-G84</f>
        <v>152.19000000000005</v>
      </c>
      <c r="I84" s="206">
        <f>VLOOKUP(F84,$T$9:$W$19,4)</f>
        <v>0.10879999999999999</v>
      </c>
      <c r="J84" s="205">
        <f>H84*I84</f>
        <v>16.558272000000006</v>
      </c>
      <c r="K84" s="207">
        <f>VLOOKUP(F84,$T$9:$W$19,3)</f>
        <v>142.19999999999999</v>
      </c>
      <c r="L84" s="205">
        <f>+J84+K84</f>
        <v>158.75827200000001</v>
      </c>
      <c r="M84" s="207">
        <f>VLOOKUP(F84,$T$26:$V$36,3)</f>
        <v>160.35</v>
      </c>
      <c r="N84" s="249">
        <f>IF(L84-M84&gt;0,L84-M84,0)</f>
        <v>0</v>
      </c>
      <c r="O84" s="249">
        <f>IF(M84-L84&gt;0,M84-L84,0)</f>
        <v>1.5917279999999892</v>
      </c>
      <c r="P84" s="32">
        <v>0</v>
      </c>
      <c r="Q84" s="31">
        <f>+F84-N84+O84-P84</f>
        <v>2576.5917279999999</v>
      </c>
      <c r="R84" s="31"/>
    </row>
    <row r="85" spans="1:21" ht="30" customHeight="1">
      <c r="A85" s="5"/>
      <c r="B85" s="63" t="s">
        <v>260</v>
      </c>
      <c r="C85" s="6"/>
      <c r="D85" s="7"/>
      <c r="E85" s="103"/>
      <c r="F85" s="31"/>
      <c r="G85" s="32"/>
      <c r="H85" s="32"/>
      <c r="I85" s="32"/>
      <c r="J85" s="32"/>
      <c r="K85" s="32"/>
      <c r="L85" s="32"/>
      <c r="M85" s="32"/>
      <c r="N85" s="137"/>
      <c r="O85" s="137"/>
      <c r="P85" s="32"/>
      <c r="Q85" s="31"/>
      <c r="R85" s="31"/>
    </row>
    <row r="86" spans="1:21" ht="30" customHeight="1">
      <c r="A86" s="5">
        <v>44</v>
      </c>
      <c r="B86" s="62" t="s">
        <v>261</v>
      </c>
      <c r="C86" s="6" t="s">
        <v>262</v>
      </c>
      <c r="D86" s="7">
        <v>15</v>
      </c>
      <c r="E86" s="31">
        <v>3374</v>
      </c>
      <c r="F86" s="31">
        <f t="shared" si="12"/>
        <v>3374</v>
      </c>
      <c r="G86" s="204">
        <f>VLOOKUP(F86,$T$9:$W$19,1)</f>
        <v>2422.81</v>
      </c>
      <c r="H86" s="205">
        <f>+F86-G86</f>
        <v>951.19</v>
      </c>
      <c r="I86" s="206">
        <f>VLOOKUP(F86,$T$9:$W$19,4)</f>
        <v>0.10879999999999999</v>
      </c>
      <c r="J86" s="205">
        <f>H86*I86</f>
        <v>103.48947200000001</v>
      </c>
      <c r="K86" s="207">
        <f>VLOOKUP(F86,$T$9:$W$19,3)</f>
        <v>142.19999999999999</v>
      </c>
      <c r="L86" s="205">
        <f>+J86+K86</f>
        <v>245.68947199999999</v>
      </c>
      <c r="M86" s="207">
        <f>VLOOKUP(F86,$T$26:$V$36,3)</f>
        <v>125.1</v>
      </c>
      <c r="N86" s="204">
        <f>IF(L86-M86&gt;0,L86-M86,0)</f>
        <v>120.589472</v>
      </c>
      <c r="O86" s="204">
        <f>IF(M86-L86&gt;0,M86-L86,0)</f>
        <v>0</v>
      </c>
      <c r="P86" s="31">
        <v>0</v>
      </c>
      <c r="Q86" s="31">
        <f>+F86-N86+O86-P86</f>
        <v>3253.4105279999999</v>
      </c>
      <c r="R86" s="31"/>
    </row>
    <row r="87" spans="1:21" ht="30" customHeight="1" thickBot="1">
      <c r="A87" s="20"/>
      <c r="B87" s="21"/>
      <c r="C87" s="122"/>
      <c r="D87" s="123" t="s">
        <v>6</v>
      </c>
      <c r="E87" s="124">
        <f>SUM(E10:E86)</f>
        <v>83394.530000000013</v>
      </c>
      <c r="F87" s="124">
        <f t="shared" ref="F87:Q87" si="23">SUM(F10:F86)</f>
        <v>83129.88866666668</v>
      </c>
      <c r="G87" s="124" t="e">
        <f t="shared" si="23"/>
        <v>#N/A</v>
      </c>
      <c r="H87" s="124" t="e">
        <f t="shared" si="23"/>
        <v>#N/A</v>
      </c>
      <c r="I87" s="124" t="e">
        <f t="shared" si="23"/>
        <v>#N/A</v>
      </c>
      <c r="J87" s="124" t="e">
        <f t="shared" si="23"/>
        <v>#N/A</v>
      </c>
      <c r="K87" s="124" t="e">
        <f t="shared" si="23"/>
        <v>#N/A</v>
      </c>
      <c r="L87" s="124" t="e">
        <f t="shared" si="23"/>
        <v>#N/A</v>
      </c>
      <c r="M87" s="124" t="e">
        <f t="shared" si="23"/>
        <v>#N/A</v>
      </c>
      <c r="N87" s="124">
        <f t="shared" si="23"/>
        <v>1341.1418800000001</v>
      </c>
      <c r="O87" s="124">
        <f t="shared" si="23"/>
        <v>3337.608757333333</v>
      </c>
      <c r="P87" s="124">
        <f t="shared" si="23"/>
        <v>0</v>
      </c>
      <c r="Q87" s="124">
        <f t="shared" si="23"/>
        <v>85126.355543999962</v>
      </c>
      <c r="R87" s="4"/>
    </row>
    <row r="88" spans="1:21" ht="13.5" thickTop="1"/>
    <row r="89" spans="1:21">
      <c r="F89" s="16"/>
      <c r="O89" s="16"/>
      <c r="Q89" s="16"/>
    </row>
    <row r="91" spans="1:21">
      <c r="E91" s="16"/>
    </row>
    <row r="92" spans="1:21">
      <c r="O92" s="16"/>
    </row>
    <row r="93" spans="1:21">
      <c r="B93" s="1" t="s">
        <v>171</v>
      </c>
      <c r="E93" s="16"/>
      <c r="F93" s="177"/>
      <c r="G93" s="133"/>
      <c r="H93" s="133"/>
      <c r="I93" s="133"/>
      <c r="J93" s="133"/>
      <c r="K93" s="133"/>
      <c r="L93" s="133"/>
      <c r="M93" s="133"/>
      <c r="N93" s="133"/>
      <c r="O93" s="133"/>
      <c r="Q93" s="121"/>
      <c r="R93" s="121"/>
    </row>
    <row r="94" spans="1:21" ht="14.25">
      <c r="B94" s="67" t="s">
        <v>259</v>
      </c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167"/>
      <c r="O94" s="24"/>
      <c r="P94" s="24"/>
      <c r="Q94" s="339" t="s">
        <v>292</v>
      </c>
      <c r="R94" s="339"/>
    </row>
    <row r="95" spans="1:21" ht="15">
      <c r="B95" s="68" t="s">
        <v>11</v>
      </c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337" t="s">
        <v>237</v>
      </c>
      <c r="R95" s="337"/>
    </row>
    <row r="96" spans="1:21" s="24" customForma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94"/>
    </row>
    <row r="97" spans="2:19" s="24" customFormat="1">
      <c r="B97" s="49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294"/>
    </row>
    <row r="98" spans="2:19">
      <c r="Q98" s="16"/>
    </row>
  </sheetData>
  <sheetProtection selectLockedCells="1" selectUnlockedCells="1"/>
  <mergeCells count="20">
    <mergeCell ref="A3:R3"/>
    <mergeCell ref="A2:R2"/>
    <mergeCell ref="A4:R4"/>
    <mergeCell ref="A5:R5"/>
    <mergeCell ref="A30:R30"/>
    <mergeCell ref="G6:O6"/>
    <mergeCell ref="G7:O7"/>
    <mergeCell ref="A31:R31"/>
    <mergeCell ref="A32:R32"/>
    <mergeCell ref="A33:R33"/>
    <mergeCell ref="A57:R57"/>
    <mergeCell ref="A58:R58"/>
    <mergeCell ref="G34:O34"/>
    <mergeCell ref="G35:O35"/>
    <mergeCell ref="Q95:R95"/>
    <mergeCell ref="A56:R56"/>
    <mergeCell ref="Q94:R94"/>
    <mergeCell ref="G60:O60"/>
    <mergeCell ref="G61:O61"/>
    <mergeCell ref="A59:R59"/>
  </mergeCells>
  <phoneticPr fontId="0" type="noConversion"/>
  <pageMargins left="0.19685039370078741" right="0" top="0.39370078740157483" bottom="0.39370078740157483" header="0.15748031496062992" footer="0.31496062992125984"/>
  <pageSetup scale="80" orientation="landscape" verticalDpi="0" r:id="rId1"/>
  <ignoredErrors>
    <ignoredError sqref="G12:L12 G15:L21 G14:L14 N12:O12 N15:O18 M12:M21 G39:O54 G65:O78 G22:L28 N22:O28 M22:M28 G79:O86 N20:O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X118"/>
  <sheetViews>
    <sheetView tabSelected="1" workbookViewId="0">
      <selection activeCell="B38" sqref="B38"/>
    </sheetView>
  </sheetViews>
  <sheetFormatPr baseColWidth="10" defaultRowHeight="12.75"/>
  <cols>
    <col min="1" max="1" width="4.42578125" style="24" customWidth="1"/>
    <col min="2" max="2" width="42.85546875" style="24" customWidth="1"/>
    <col min="3" max="3" width="18.7109375" style="24" customWidth="1"/>
    <col min="4" max="4" width="4.42578125" style="229" customWidth="1"/>
    <col min="5" max="5" width="10.7109375" style="24" bestFit="1" customWidth="1"/>
    <col min="6" max="6" width="11.85546875" style="24" bestFit="1" customWidth="1"/>
    <col min="7" max="13" width="11.85546875" style="24" hidden="1" customWidth="1"/>
    <col min="14" max="14" width="9.5703125" style="24" customWidth="1"/>
    <col min="15" max="15" width="7.42578125" style="24" customWidth="1"/>
    <col min="16" max="16" width="8.7109375" style="24" hidden="1" customWidth="1"/>
    <col min="17" max="17" width="11.5703125" style="24" customWidth="1"/>
    <col min="18" max="18" width="33.28515625" style="24" customWidth="1"/>
    <col min="19" max="20" width="11.42578125" style="24"/>
    <col min="21" max="21" width="12.85546875" style="24" hidden="1" customWidth="1"/>
    <col min="22" max="24" width="0" style="24" hidden="1" customWidth="1"/>
    <col min="25" max="16384" width="11.42578125" style="24"/>
  </cols>
  <sheetData>
    <row r="1" spans="1:24" ht="21" customHeight="1">
      <c r="A1" s="52"/>
      <c r="B1" s="52"/>
      <c r="C1" s="52"/>
      <c r="D1" s="227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24" ht="21" customHeight="1">
      <c r="A2" s="52"/>
      <c r="B2" s="52"/>
      <c r="C2" s="52"/>
      <c r="D2" s="227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24" ht="21" customHeight="1">
      <c r="A3" s="52"/>
      <c r="B3" s="52"/>
      <c r="C3" s="52"/>
      <c r="D3" s="227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24" ht="21" customHeight="1">
      <c r="A4" s="52"/>
      <c r="B4" s="52"/>
      <c r="C4" s="52"/>
      <c r="D4" s="227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24" ht="15" customHeight="1">
      <c r="A5" s="52"/>
      <c r="B5" s="52"/>
      <c r="C5" s="52"/>
      <c r="D5" s="227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4" ht="15.75" customHeight="1">
      <c r="A6" s="100"/>
      <c r="B6" s="101"/>
      <c r="C6" s="101"/>
      <c r="D6" s="228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</row>
    <row r="7" spans="1:24" ht="18">
      <c r="A7" s="323" t="s">
        <v>12</v>
      </c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5"/>
    </row>
    <row r="8" spans="1:24" ht="18">
      <c r="A8" s="323" t="s">
        <v>238</v>
      </c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5"/>
    </row>
    <row r="9" spans="1:24" ht="15">
      <c r="A9" s="328" t="s">
        <v>316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2"/>
    </row>
    <row r="10" spans="1:24" ht="15">
      <c r="A10" s="328" t="s">
        <v>225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2"/>
    </row>
    <row r="11" spans="1:24">
      <c r="A11" s="90"/>
      <c r="B11" s="90"/>
      <c r="C11" s="90"/>
      <c r="D11" s="226" t="s">
        <v>4</v>
      </c>
      <c r="E11" s="115"/>
      <c r="F11" s="242"/>
      <c r="G11" s="359" t="s">
        <v>290</v>
      </c>
      <c r="H11" s="360"/>
      <c r="I11" s="360"/>
      <c r="J11" s="360"/>
      <c r="K11" s="360"/>
      <c r="L11" s="360"/>
      <c r="M11" s="360"/>
      <c r="N11" s="360"/>
      <c r="O11" s="360"/>
      <c r="P11" s="241"/>
      <c r="Q11" s="241"/>
      <c r="R11" s="240"/>
    </row>
    <row r="12" spans="1:24">
      <c r="A12" s="91" t="s">
        <v>3</v>
      </c>
      <c r="B12" s="91"/>
      <c r="C12" s="91"/>
      <c r="D12" s="225" t="s">
        <v>5</v>
      </c>
      <c r="E12" s="92" t="s">
        <v>1</v>
      </c>
      <c r="F12" s="93" t="s">
        <v>227</v>
      </c>
      <c r="G12" s="359" t="s">
        <v>270</v>
      </c>
      <c r="H12" s="360"/>
      <c r="I12" s="360"/>
      <c r="J12" s="360"/>
      <c r="K12" s="360"/>
      <c r="L12" s="360"/>
      <c r="M12" s="360"/>
      <c r="N12" s="360"/>
      <c r="O12" s="361"/>
      <c r="P12" s="271" t="s">
        <v>245</v>
      </c>
      <c r="Q12" s="91" t="s">
        <v>234</v>
      </c>
      <c r="R12" s="91"/>
    </row>
    <row r="13" spans="1:24">
      <c r="A13" s="94"/>
      <c r="B13" s="92"/>
      <c r="C13" s="92" t="s">
        <v>10</v>
      </c>
      <c r="D13" s="91"/>
      <c r="E13" s="91" t="s">
        <v>229</v>
      </c>
      <c r="F13" s="92" t="s">
        <v>230</v>
      </c>
      <c r="G13" s="237" t="s">
        <v>272</v>
      </c>
      <c r="H13" s="237" t="s">
        <v>273</v>
      </c>
      <c r="I13" s="237" t="s">
        <v>282</v>
      </c>
      <c r="J13" s="237" t="s">
        <v>274</v>
      </c>
      <c r="K13" s="237" t="s">
        <v>275</v>
      </c>
      <c r="L13" s="237" t="s">
        <v>271</v>
      </c>
      <c r="M13" s="237" t="s">
        <v>283</v>
      </c>
      <c r="N13" s="238" t="s">
        <v>271</v>
      </c>
      <c r="O13" s="237" t="s">
        <v>286</v>
      </c>
      <c r="P13" s="271" t="s">
        <v>246</v>
      </c>
      <c r="Q13" s="91" t="s">
        <v>233</v>
      </c>
      <c r="R13" s="91" t="s">
        <v>232</v>
      </c>
    </row>
    <row r="14" spans="1:24" ht="13.5" thickBot="1">
      <c r="A14" s="91"/>
      <c r="B14" s="93" t="s">
        <v>71</v>
      </c>
      <c r="C14" s="93" t="s">
        <v>9</v>
      </c>
      <c r="D14" s="93"/>
      <c r="E14" s="93"/>
      <c r="F14" s="93"/>
      <c r="G14" s="239" t="s">
        <v>277</v>
      </c>
      <c r="H14" s="239" t="s">
        <v>278</v>
      </c>
      <c r="I14" s="239" t="s">
        <v>278</v>
      </c>
      <c r="J14" s="239" t="s">
        <v>279</v>
      </c>
      <c r="K14" s="239" t="s">
        <v>280</v>
      </c>
      <c r="L14" s="239" t="s">
        <v>281</v>
      </c>
      <c r="M14" s="239" t="s">
        <v>284</v>
      </c>
      <c r="N14" s="237" t="s">
        <v>276</v>
      </c>
      <c r="O14" s="239" t="s">
        <v>285</v>
      </c>
      <c r="P14" s="93"/>
      <c r="Q14" s="93"/>
      <c r="R14" s="93"/>
    </row>
    <row r="15" spans="1:24" ht="26.1" customHeight="1" thickBot="1">
      <c r="A15" s="61">
        <v>1</v>
      </c>
      <c r="B15" s="286" t="s">
        <v>221</v>
      </c>
      <c r="C15" s="6" t="s">
        <v>72</v>
      </c>
      <c r="D15" s="7">
        <v>15</v>
      </c>
      <c r="E15" s="32">
        <v>6800</v>
      </c>
      <c r="F15" s="31">
        <f>(E15/15)*D15</f>
        <v>6800</v>
      </c>
      <c r="G15" s="204">
        <f t="shared" ref="G15:G38" si="0">VLOOKUP(F15,$U$14:$X$23,1)</f>
        <v>5925.91</v>
      </c>
      <c r="H15" s="205">
        <f>+F15-G15</f>
        <v>874.09000000000015</v>
      </c>
      <c r="I15" s="206">
        <f t="shared" ref="I15:I38" si="1">VLOOKUP(F15,$U$14:$X$23,4)</f>
        <v>0.21360000000000001</v>
      </c>
      <c r="J15" s="205">
        <f>H15*I15</f>
        <v>186.70562400000003</v>
      </c>
      <c r="K15" s="207">
        <f t="shared" ref="K15:K38" si="2">VLOOKUP(F15,$U$14:$X$23,3)</f>
        <v>627.6</v>
      </c>
      <c r="L15" s="205">
        <f>+J15+K15</f>
        <v>814.30562400000008</v>
      </c>
      <c r="M15" s="207">
        <f t="shared" ref="M15:M38" si="3">VLOOKUP(F15,$U$30:$W$42,3)</f>
        <v>0</v>
      </c>
      <c r="N15" s="251">
        <f>IF(L15-M15&gt;0,L15-M15,0)</f>
        <v>814.30562400000008</v>
      </c>
      <c r="O15" s="251">
        <f>IF(M15-L15&gt;0,M15-L15,0)</f>
        <v>0</v>
      </c>
      <c r="P15" s="31">
        <v>0</v>
      </c>
      <c r="Q15" s="31">
        <f t="shared" ref="Q15:Q36" si="4">+F15-N15+O15-P15</f>
        <v>5985.6943759999995</v>
      </c>
      <c r="R15" s="31"/>
      <c r="U15" s="208" t="s">
        <v>268</v>
      </c>
      <c r="V15" s="208"/>
      <c r="W15" s="209"/>
      <c r="X15" s="193"/>
    </row>
    <row r="16" spans="1:24" ht="26.1" customHeight="1" thickBot="1">
      <c r="A16" s="163">
        <v>2</v>
      </c>
      <c r="B16" s="23"/>
      <c r="C16" s="23" t="s">
        <v>74</v>
      </c>
      <c r="D16" s="163">
        <v>15</v>
      </c>
      <c r="E16" s="31">
        <v>4326</v>
      </c>
      <c r="F16" s="31">
        <f t="shared" ref="F16:F36" si="5">(E16/15)*D16</f>
        <v>4326</v>
      </c>
      <c r="G16" s="204">
        <f t="shared" si="0"/>
        <v>4257.91</v>
      </c>
      <c r="H16" s="205">
        <f t="shared" ref="H16:H33" si="6">+F16-G16</f>
        <v>68.090000000000146</v>
      </c>
      <c r="I16" s="206">
        <f t="shared" si="1"/>
        <v>0.16</v>
      </c>
      <c r="J16" s="205">
        <f t="shared" ref="J16:J33" si="7">H16*I16</f>
        <v>10.894400000000024</v>
      </c>
      <c r="K16" s="207">
        <f t="shared" si="2"/>
        <v>341.85</v>
      </c>
      <c r="L16" s="205">
        <f t="shared" ref="L16:L33" si="8">+J16+K16</f>
        <v>352.74440000000004</v>
      </c>
      <c r="M16" s="207">
        <f t="shared" si="3"/>
        <v>0</v>
      </c>
      <c r="N16" s="249">
        <f t="shared" ref="N16:N33" si="9">IF(L16-M16&gt;0,L16-M16,0)</f>
        <v>352.74440000000004</v>
      </c>
      <c r="O16" s="249">
        <f t="shared" ref="O16:O33" si="10">IF(M16-L16&gt;0,M16-L16,0)</f>
        <v>0</v>
      </c>
      <c r="P16" s="31">
        <v>0</v>
      </c>
      <c r="Q16" s="31">
        <f t="shared" si="4"/>
        <v>3973.2556</v>
      </c>
      <c r="R16" s="31"/>
      <c r="S16" s="296"/>
      <c r="U16" s="193"/>
      <c r="V16" s="193"/>
      <c r="W16" s="193"/>
      <c r="X16" s="193"/>
    </row>
    <row r="17" spans="1:24" ht="26.1" customHeight="1" thickBot="1">
      <c r="A17" s="7">
        <v>3</v>
      </c>
      <c r="B17" s="23"/>
      <c r="C17" s="23" t="s">
        <v>222</v>
      </c>
      <c r="D17" s="163">
        <v>15</v>
      </c>
      <c r="E17" s="31">
        <v>3754</v>
      </c>
      <c r="F17" s="31">
        <f t="shared" si="5"/>
        <v>3754</v>
      </c>
      <c r="G17" s="204">
        <f t="shared" si="0"/>
        <v>2422.81</v>
      </c>
      <c r="H17" s="205">
        <f t="shared" si="6"/>
        <v>1331.19</v>
      </c>
      <c r="I17" s="206">
        <f t="shared" si="1"/>
        <v>0.10879999999999999</v>
      </c>
      <c r="J17" s="205">
        <f t="shared" si="7"/>
        <v>144.833472</v>
      </c>
      <c r="K17" s="207">
        <f t="shared" si="2"/>
        <v>142.19999999999999</v>
      </c>
      <c r="L17" s="205">
        <f t="shared" si="8"/>
        <v>287.03347199999996</v>
      </c>
      <c r="M17" s="207">
        <f t="shared" si="3"/>
        <v>0</v>
      </c>
      <c r="N17" s="249">
        <f t="shared" si="9"/>
        <v>287.03347199999996</v>
      </c>
      <c r="O17" s="249">
        <f t="shared" si="10"/>
        <v>0</v>
      </c>
      <c r="P17" s="31">
        <v>0</v>
      </c>
      <c r="Q17" s="31">
        <f t="shared" si="4"/>
        <v>3466.9665279999999</v>
      </c>
      <c r="R17" s="31"/>
      <c r="S17" s="296"/>
      <c r="U17" s="210" t="s">
        <v>264</v>
      </c>
      <c r="V17" s="211" t="s">
        <v>265</v>
      </c>
      <c r="W17" s="211" t="s">
        <v>266</v>
      </c>
      <c r="X17" s="212" t="s">
        <v>267</v>
      </c>
    </row>
    <row r="18" spans="1:24" ht="26.1" customHeight="1" thickTop="1">
      <c r="A18" s="7">
        <v>4</v>
      </c>
      <c r="B18" s="188"/>
      <c r="C18" s="188" t="s">
        <v>73</v>
      </c>
      <c r="D18" s="163">
        <v>15</v>
      </c>
      <c r="E18" s="31">
        <v>4017</v>
      </c>
      <c r="F18" s="31">
        <f t="shared" si="5"/>
        <v>4017</v>
      </c>
      <c r="G18" s="204">
        <f t="shared" si="0"/>
        <v>2422.81</v>
      </c>
      <c r="H18" s="205">
        <f t="shared" si="6"/>
        <v>1594.19</v>
      </c>
      <c r="I18" s="206">
        <f t="shared" si="1"/>
        <v>0.10879999999999999</v>
      </c>
      <c r="J18" s="205">
        <f t="shared" si="7"/>
        <v>173.44787199999999</v>
      </c>
      <c r="K18" s="207">
        <f t="shared" si="2"/>
        <v>142.19999999999999</v>
      </c>
      <c r="L18" s="205">
        <f t="shared" si="8"/>
        <v>315.64787200000001</v>
      </c>
      <c r="M18" s="207">
        <f t="shared" si="3"/>
        <v>0</v>
      </c>
      <c r="N18" s="249">
        <f t="shared" si="9"/>
        <v>315.64787200000001</v>
      </c>
      <c r="O18" s="249">
        <f t="shared" si="10"/>
        <v>0</v>
      </c>
      <c r="P18" s="31">
        <v>0</v>
      </c>
      <c r="Q18" s="31">
        <f t="shared" si="4"/>
        <v>3701.352128</v>
      </c>
      <c r="R18" s="31"/>
      <c r="S18" s="296"/>
      <c r="T18" s="30"/>
      <c r="U18" s="195"/>
      <c r="V18" s="195"/>
      <c r="W18" s="195"/>
      <c r="X18" s="200"/>
    </row>
    <row r="19" spans="1:24" ht="26.1" customHeight="1">
      <c r="A19" s="7">
        <v>5</v>
      </c>
      <c r="B19" s="286"/>
      <c r="C19" s="23" t="s">
        <v>73</v>
      </c>
      <c r="D19" s="163">
        <v>15</v>
      </c>
      <c r="E19" s="31">
        <v>4017</v>
      </c>
      <c r="F19" s="31">
        <f t="shared" si="5"/>
        <v>4017</v>
      </c>
      <c r="G19" s="204">
        <f t="shared" si="0"/>
        <v>2422.81</v>
      </c>
      <c r="H19" s="205">
        <f t="shared" si="6"/>
        <v>1594.19</v>
      </c>
      <c r="I19" s="206">
        <f t="shared" si="1"/>
        <v>0.10879999999999999</v>
      </c>
      <c r="J19" s="205">
        <f t="shared" si="7"/>
        <v>173.44787199999999</v>
      </c>
      <c r="K19" s="207">
        <f t="shared" si="2"/>
        <v>142.19999999999999</v>
      </c>
      <c r="L19" s="205">
        <f t="shared" si="8"/>
        <v>315.64787200000001</v>
      </c>
      <c r="M19" s="207">
        <f t="shared" si="3"/>
        <v>0</v>
      </c>
      <c r="N19" s="249">
        <f t="shared" si="9"/>
        <v>315.64787200000001</v>
      </c>
      <c r="O19" s="249">
        <f t="shared" si="10"/>
        <v>0</v>
      </c>
      <c r="P19" s="31">
        <v>0</v>
      </c>
      <c r="Q19" s="31">
        <f t="shared" si="4"/>
        <v>3701.352128</v>
      </c>
      <c r="R19" s="31"/>
      <c r="S19" s="296"/>
      <c r="U19" s="196">
        <v>285.45999999999998</v>
      </c>
      <c r="V19" s="197">
        <v>2422.8000000000002</v>
      </c>
      <c r="W19" s="196">
        <v>5.55</v>
      </c>
      <c r="X19" s="201">
        <v>6.4000000000000001E-2</v>
      </c>
    </row>
    <row r="20" spans="1:24" ht="26.1" customHeight="1">
      <c r="A20" s="7">
        <v>6</v>
      </c>
      <c r="B20" s="286"/>
      <c r="C20" s="188" t="s">
        <v>73</v>
      </c>
      <c r="D20" s="163">
        <v>15</v>
      </c>
      <c r="E20" s="31">
        <v>4017</v>
      </c>
      <c r="F20" s="31">
        <f t="shared" si="5"/>
        <v>4017</v>
      </c>
      <c r="G20" s="204">
        <f t="shared" si="0"/>
        <v>2422.81</v>
      </c>
      <c r="H20" s="205">
        <f t="shared" si="6"/>
        <v>1594.19</v>
      </c>
      <c r="I20" s="206">
        <f t="shared" si="1"/>
        <v>0.10879999999999999</v>
      </c>
      <c r="J20" s="205">
        <f t="shared" si="7"/>
        <v>173.44787199999999</v>
      </c>
      <c r="K20" s="207">
        <f t="shared" si="2"/>
        <v>142.19999999999999</v>
      </c>
      <c r="L20" s="205">
        <f t="shared" si="8"/>
        <v>315.64787200000001</v>
      </c>
      <c r="M20" s="207">
        <f t="shared" si="3"/>
        <v>0</v>
      </c>
      <c r="N20" s="249">
        <f t="shared" si="9"/>
        <v>315.64787200000001</v>
      </c>
      <c r="O20" s="249">
        <f t="shared" si="10"/>
        <v>0</v>
      </c>
      <c r="P20" s="31">
        <v>0</v>
      </c>
      <c r="Q20" s="31">
        <f t="shared" si="4"/>
        <v>3701.352128</v>
      </c>
      <c r="R20" s="31"/>
      <c r="S20" s="296"/>
      <c r="U20" s="197">
        <v>2422.81</v>
      </c>
      <c r="V20" s="197">
        <v>4257.8999999999996</v>
      </c>
      <c r="W20" s="196">
        <v>142.19999999999999</v>
      </c>
      <c r="X20" s="201">
        <v>0.10879999999999999</v>
      </c>
    </row>
    <row r="21" spans="1:24" ht="26.1" customHeight="1">
      <c r="A21" s="7">
        <v>7</v>
      </c>
      <c r="B21" s="287"/>
      <c r="C21" s="188" t="s">
        <v>73</v>
      </c>
      <c r="D21" s="163">
        <v>15</v>
      </c>
      <c r="E21" s="31">
        <v>4017</v>
      </c>
      <c r="F21" s="31">
        <f t="shared" si="5"/>
        <v>4017</v>
      </c>
      <c r="G21" s="204">
        <f t="shared" si="0"/>
        <v>2422.81</v>
      </c>
      <c r="H21" s="205">
        <f t="shared" si="6"/>
        <v>1594.19</v>
      </c>
      <c r="I21" s="206">
        <f t="shared" si="1"/>
        <v>0.10879999999999999</v>
      </c>
      <c r="J21" s="205">
        <f t="shared" si="7"/>
        <v>173.44787199999999</v>
      </c>
      <c r="K21" s="207">
        <f t="shared" si="2"/>
        <v>142.19999999999999</v>
      </c>
      <c r="L21" s="205">
        <f t="shared" si="8"/>
        <v>315.64787200000001</v>
      </c>
      <c r="M21" s="207">
        <f t="shared" si="3"/>
        <v>0</v>
      </c>
      <c r="N21" s="249">
        <f t="shared" si="9"/>
        <v>315.64787200000001</v>
      </c>
      <c r="O21" s="249">
        <f t="shared" si="10"/>
        <v>0</v>
      </c>
      <c r="P21" s="31">
        <v>0</v>
      </c>
      <c r="Q21" s="31">
        <f t="shared" si="4"/>
        <v>3701.352128</v>
      </c>
      <c r="R21" s="31"/>
      <c r="S21" s="296"/>
      <c r="U21" s="197">
        <v>4257.91</v>
      </c>
      <c r="V21" s="197">
        <v>4949.55</v>
      </c>
      <c r="W21" s="196">
        <v>341.85</v>
      </c>
      <c r="X21" s="201">
        <v>0.16</v>
      </c>
    </row>
    <row r="22" spans="1:24" ht="26.1" customHeight="1">
      <c r="A22" s="7">
        <v>8</v>
      </c>
      <c r="B22" s="286"/>
      <c r="C22" s="188" t="s">
        <v>73</v>
      </c>
      <c r="D22" s="163">
        <v>15</v>
      </c>
      <c r="E22" s="31">
        <v>4017</v>
      </c>
      <c r="F22" s="31">
        <f t="shared" si="5"/>
        <v>4017</v>
      </c>
      <c r="G22" s="204">
        <f t="shared" si="0"/>
        <v>2422.81</v>
      </c>
      <c r="H22" s="205">
        <f t="shared" si="6"/>
        <v>1594.19</v>
      </c>
      <c r="I22" s="206">
        <f t="shared" si="1"/>
        <v>0.10879999999999999</v>
      </c>
      <c r="J22" s="205">
        <f t="shared" si="7"/>
        <v>173.44787199999999</v>
      </c>
      <c r="K22" s="207">
        <f t="shared" si="2"/>
        <v>142.19999999999999</v>
      </c>
      <c r="L22" s="205">
        <f t="shared" si="8"/>
        <v>315.64787200000001</v>
      </c>
      <c r="M22" s="207">
        <f t="shared" si="3"/>
        <v>0</v>
      </c>
      <c r="N22" s="249">
        <f t="shared" si="9"/>
        <v>315.64787200000001</v>
      </c>
      <c r="O22" s="249">
        <f t="shared" si="10"/>
        <v>0</v>
      </c>
      <c r="P22" s="31">
        <v>0</v>
      </c>
      <c r="Q22" s="31">
        <f t="shared" si="4"/>
        <v>3701.352128</v>
      </c>
      <c r="R22" s="31"/>
      <c r="S22" s="296"/>
      <c r="U22" s="197">
        <v>5925.91</v>
      </c>
      <c r="V22" s="197">
        <v>11951.85</v>
      </c>
      <c r="W22" s="196">
        <v>627.6</v>
      </c>
      <c r="X22" s="201">
        <v>0.21360000000000001</v>
      </c>
    </row>
    <row r="23" spans="1:24" ht="26.1" customHeight="1">
      <c r="A23" s="7">
        <v>9</v>
      </c>
      <c r="B23" s="286"/>
      <c r="C23" s="188" t="s">
        <v>73</v>
      </c>
      <c r="D23" s="163">
        <v>15</v>
      </c>
      <c r="E23" s="31">
        <v>4017</v>
      </c>
      <c r="F23" s="31">
        <f t="shared" si="5"/>
        <v>4017</v>
      </c>
      <c r="G23" s="204">
        <f t="shared" si="0"/>
        <v>2422.81</v>
      </c>
      <c r="H23" s="205">
        <f t="shared" si="6"/>
        <v>1594.19</v>
      </c>
      <c r="I23" s="206">
        <f t="shared" si="1"/>
        <v>0.10879999999999999</v>
      </c>
      <c r="J23" s="205">
        <f t="shared" si="7"/>
        <v>173.44787199999999</v>
      </c>
      <c r="K23" s="207">
        <f t="shared" si="2"/>
        <v>142.19999999999999</v>
      </c>
      <c r="L23" s="205">
        <f t="shared" si="8"/>
        <v>315.64787200000001</v>
      </c>
      <c r="M23" s="207">
        <f t="shared" si="3"/>
        <v>0</v>
      </c>
      <c r="N23" s="249">
        <f t="shared" si="9"/>
        <v>315.64787200000001</v>
      </c>
      <c r="O23" s="249">
        <f t="shared" si="10"/>
        <v>0</v>
      </c>
      <c r="P23" s="31">
        <v>0</v>
      </c>
      <c r="Q23" s="31">
        <f t="shared" si="4"/>
        <v>3701.352128</v>
      </c>
      <c r="R23" s="31"/>
      <c r="S23" s="296"/>
      <c r="U23" s="197">
        <v>11951.86</v>
      </c>
      <c r="V23" s="197">
        <v>18837.75</v>
      </c>
      <c r="W23" s="197">
        <v>1914.75</v>
      </c>
      <c r="X23" s="201">
        <v>0.23519999999999999</v>
      </c>
    </row>
    <row r="24" spans="1:24" ht="26.1" customHeight="1">
      <c r="A24" s="7">
        <v>10</v>
      </c>
      <c r="B24" s="286"/>
      <c r="C24" s="188" t="s">
        <v>74</v>
      </c>
      <c r="D24" s="163">
        <v>15</v>
      </c>
      <c r="E24" s="31">
        <v>4326</v>
      </c>
      <c r="F24" s="31">
        <f t="shared" si="5"/>
        <v>4326</v>
      </c>
      <c r="G24" s="204">
        <f t="shared" si="0"/>
        <v>4257.91</v>
      </c>
      <c r="H24" s="205">
        <f t="shared" si="6"/>
        <v>68.090000000000146</v>
      </c>
      <c r="I24" s="206">
        <f t="shared" si="1"/>
        <v>0.16</v>
      </c>
      <c r="J24" s="205">
        <f t="shared" si="7"/>
        <v>10.894400000000024</v>
      </c>
      <c r="K24" s="207">
        <f t="shared" si="2"/>
        <v>341.85</v>
      </c>
      <c r="L24" s="205">
        <f t="shared" si="8"/>
        <v>352.74440000000004</v>
      </c>
      <c r="M24" s="207">
        <f t="shared" si="3"/>
        <v>0</v>
      </c>
      <c r="N24" s="249">
        <f t="shared" si="9"/>
        <v>352.74440000000004</v>
      </c>
      <c r="O24" s="249">
        <f t="shared" si="10"/>
        <v>0</v>
      </c>
      <c r="P24" s="31">
        <v>0</v>
      </c>
      <c r="Q24" s="31">
        <f t="shared" si="4"/>
        <v>3973.2556</v>
      </c>
      <c r="R24" s="31"/>
      <c r="S24" s="296"/>
      <c r="U24" s="197">
        <v>18837.759999999998</v>
      </c>
      <c r="V24" s="197">
        <v>35964.300000000003</v>
      </c>
      <c r="W24" s="197">
        <v>3534.3</v>
      </c>
      <c r="X24" s="201">
        <v>0.3</v>
      </c>
    </row>
    <row r="25" spans="1:24" ht="26.1" customHeight="1">
      <c r="A25" s="7">
        <v>11</v>
      </c>
      <c r="B25" s="188"/>
      <c r="C25" s="23" t="s">
        <v>73</v>
      </c>
      <c r="D25" s="163">
        <v>15</v>
      </c>
      <c r="E25" s="31">
        <v>4017</v>
      </c>
      <c r="F25" s="31">
        <f t="shared" si="5"/>
        <v>4017</v>
      </c>
      <c r="G25" s="204">
        <f t="shared" si="0"/>
        <v>2422.81</v>
      </c>
      <c r="H25" s="205">
        <f t="shared" si="6"/>
        <v>1594.19</v>
      </c>
      <c r="I25" s="206">
        <f t="shared" si="1"/>
        <v>0.10879999999999999</v>
      </c>
      <c r="J25" s="205">
        <f t="shared" si="7"/>
        <v>173.44787199999999</v>
      </c>
      <c r="K25" s="207">
        <f t="shared" si="2"/>
        <v>142.19999999999999</v>
      </c>
      <c r="L25" s="205">
        <f t="shared" si="8"/>
        <v>315.64787200000001</v>
      </c>
      <c r="M25" s="207">
        <f t="shared" si="3"/>
        <v>0</v>
      </c>
      <c r="N25" s="249">
        <f t="shared" si="9"/>
        <v>315.64787200000001</v>
      </c>
      <c r="O25" s="249">
        <f t="shared" si="10"/>
        <v>0</v>
      </c>
      <c r="P25" s="31">
        <v>0</v>
      </c>
      <c r="Q25" s="31">
        <f t="shared" si="4"/>
        <v>3701.352128</v>
      </c>
      <c r="R25" s="31"/>
      <c r="S25" s="296"/>
      <c r="U25" s="197">
        <v>47952.31</v>
      </c>
      <c r="V25" s="197">
        <v>143856.9</v>
      </c>
      <c r="W25" s="197">
        <v>12508.35</v>
      </c>
      <c r="X25" s="201">
        <v>0.34</v>
      </c>
    </row>
    <row r="26" spans="1:24" ht="26.1" customHeight="1" thickBot="1">
      <c r="A26" s="163">
        <v>12</v>
      </c>
      <c r="B26" s="286"/>
      <c r="C26" s="23" t="s">
        <v>73</v>
      </c>
      <c r="D26" s="163">
        <v>15</v>
      </c>
      <c r="E26" s="31">
        <v>3475.22</v>
      </c>
      <c r="F26" s="31">
        <f t="shared" si="5"/>
        <v>3475.22</v>
      </c>
      <c r="G26" s="204">
        <f t="shared" si="0"/>
        <v>2422.81</v>
      </c>
      <c r="H26" s="205">
        <f t="shared" si="6"/>
        <v>1052.4099999999999</v>
      </c>
      <c r="I26" s="206">
        <f t="shared" si="1"/>
        <v>0.10879999999999999</v>
      </c>
      <c r="J26" s="205">
        <f t="shared" si="7"/>
        <v>114.50220799999998</v>
      </c>
      <c r="K26" s="207">
        <f t="shared" si="2"/>
        <v>142.19999999999999</v>
      </c>
      <c r="L26" s="205">
        <f t="shared" si="8"/>
        <v>256.70220799999998</v>
      </c>
      <c r="M26" s="207">
        <f t="shared" si="3"/>
        <v>125.1</v>
      </c>
      <c r="N26" s="249">
        <f t="shared" si="9"/>
        <v>131.60220799999999</v>
      </c>
      <c r="O26" s="249">
        <f t="shared" si="10"/>
        <v>0</v>
      </c>
      <c r="P26" s="31">
        <v>0</v>
      </c>
      <c r="Q26" s="31">
        <f t="shared" si="4"/>
        <v>3343.617792</v>
      </c>
      <c r="R26" s="31"/>
      <c r="S26" s="296"/>
      <c r="U26" s="198">
        <v>143856.91</v>
      </c>
      <c r="V26" s="199" t="s">
        <v>287</v>
      </c>
      <c r="W26" s="198">
        <v>45115.95</v>
      </c>
      <c r="X26" s="202">
        <v>0.35</v>
      </c>
    </row>
    <row r="27" spans="1:24" s="30" customFormat="1" ht="26.1" customHeight="1" thickTop="1" thickBot="1">
      <c r="A27" s="7">
        <v>13</v>
      </c>
      <c r="B27" s="286"/>
      <c r="C27" s="23" t="s">
        <v>73</v>
      </c>
      <c r="D27" s="163">
        <v>15</v>
      </c>
      <c r="E27" s="31">
        <v>3475.22</v>
      </c>
      <c r="F27" s="31">
        <f t="shared" si="5"/>
        <v>3475.22</v>
      </c>
      <c r="G27" s="204">
        <f t="shared" si="0"/>
        <v>2422.81</v>
      </c>
      <c r="H27" s="205">
        <f t="shared" si="6"/>
        <v>1052.4099999999999</v>
      </c>
      <c r="I27" s="206">
        <f t="shared" si="1"/>
        <v>0.10879999999999999</v>
      </c>
      <c r="J27" s="205">
        <f t="shared" si="7"/>
        <v>114.50220799999998</v>
      </c>
      <c r="K27" s="207">
        <f t="shared" si="2"/>
        <v>142.19999999999999</v>
      </c>
      <c r="L27" s="205">
        <f t="shared" si="8"/>
        <v>256.70220799999998</v>
      </c>
      <c r="M27" s="207">
        <f t="shared" si="3"/>
        <v>125.1</v>
      </c>
      <c r="N27" s="249">
        <f t="shared" si="9"/>
        <v>131.60220799999999</v>
      </c>
      <c r="O27" s="249">
        <f t="shared" si="10"/>
        <v>0</v>
      </c>
      <c r="P27" s="31">
        <v>0</v>
      </c>
      <c r="Q27" s="31">
        <f t="shared" si="4"/>
        <v>3343.617792</v>
      </c>
      <c r="R27" s="31"/>
      <c r="S27" s="297"/>
      <c r="U27" s="232"/>
      <c r="V27" s="233"/>
    </row>
    <row r="28" spans="1:24" s="30" customFormat="1" ht="26.1" customHeight="1">
      <c r="A28" s="7">
        <v>14</v>
      </c>
      <c r="B28" s="188"/>
      <c r="C28" s="23" t="s">
        <v>73</v>
      </c>
      <c r="D28" s="163">
        <v>15</v>
      </c>
      <c r="E28" s="31">
        <v>4017</v>
      </c>
      <c r="F28" s="31">
        <f t="shared" si="5"/>
        <v>4017</v>
      </c>
      <c r="G28" s="204">
        <f t="shared" si="0"/>
        <v>2422.81</v>
      </c>
      <c r="H28" s="205">
        <f t="shared" si="6"/>
        <v>1594.19</v>
      </c>
      <c r="I28" s="206">
        <f t="shared" si="1"/>
        <v>0.10879999999999999</v>
      </c>
      <c r="J28" s="205">
        <f t="shared" si="7"/>
        <v>173.44787199999999</v>
      </c>
      <c r="K28" s="207">
        <f t="shared" si="2"/>
        <v>142.19999999999999</v>
      </c>
      <c r="L28" s="205">
        <f t="shared" si="8"/>
        <v>315.64787200000001</v>
      </c>
      <c r="M28" s="207">
        <f t="shared" si="3"/>
        <v>0</v>
      </c>
      <c r="N28" s="249">
        <f t="shared" si="9"/>
        <v>315.64787200000001</v>
      </c>
      <c r="O28" s="249">
        <f t="shared" si="10"/>
        <v>0</v>
      </c>
      <c r="P28" s="31">
        <v>0</v>
      </c>
      <c r="Q28" s="31">
        <f t="shared" si="4"/>
        <v>3701.352128</v>
      </c>
      <c r="R28" s="31"/>
      <c r="S28" s="297"/>
      <c r="U28" s="234" t="s">
        <v>269</v>
      </c>
      <c r="V28" s="235"/>
      <c r="W28" s="236"/>
    </row>
    <row r="29" spans="1:24" ht="26.1" customHeight="1" thickBot="1">
      <c r="A29" s="7">
        <v>15</v>
      </c>
      <c r="B29" s="188"/>
      <c r="C29" s="23" t="s">
        <v>73</v>
      </c>
      <c r="D29" s="163">
        <v>15</v>
      </c>
      <c r="E29" s="31">
        <v>4017</v>
      </c>
      <c r="F29" s="31">
        <f t="shared" si="5"/>
        <v>4017</v>
      </c>
      <c r="G29" s="204">
        <f t="shared" si="0"/>
        <v>2422.81</v>
      </c>
      <c r="H29" s="205">
        <f t="shared" si="6"/>
        <v>1594.19</v>
      </c>
      <c r="I29" s="206">
        <f t="shared" si="1"/>
        <v>0.10879999999999999</v>
      </c>
      <c r="J29" s="205">
        <f t="shared" si="7"/>
        <v>173.44787199999999</v>
      </c>
      <c r="K29" s="207">
        <f t="shared" si="2"/>
        <v>142.19999999999999</v>
      </c>
      <c r="L29" s="205">
        <f t="shared" si="8"/>
        <v>315.64787200000001</v>
      </c>
      <c r="M29" s="207">
        <f t="shared" si="3"/>
        <v>0</v>
      </c>
      <c r="N29" s="249">
        <f t="shared" si="9"/>
        <v>315.64787200000001</v>
      </c>
      <c r="O29" s="249">
        <f t="shared" si="10"/>
        <v>0</v>
      </c>
      <c r="P29" s="31">
        <v>0</v>
      </c>
      <c r="Q29" s="31">
        <f t="shared" si="4"/>
        <v>3701.352128</v>
      </c>
      <c r="R29" s="31"/>
      <c r="S29" s="296"/>
      <c r="U29" s="216" t="s">
        <v>264</v>
      </c>
      <c r="V29" s="217" t="s">
        <v>265</v>
      </c>
      <c r="W29" s="218" t="s">
        <v>266</v>
      </c>
    </row>
    <row r="30" spans="1:24" ht="26.1" customHeight="1" thickTop="1">
      <c r="A30" s="163">
        <v>16</v>
      </c>
      <c r="B30" s="286"/>
      <c r="C30" s="23" t="s">
        <v>73</v>
      </c>
      <c r="D30" s="163">
        <v>15</v>
      </c>
      <c r="E30" s="31">
        <v>4017</v>
      </c>
      <c r="F30" s="31">
        <f t="shared" si="5"/>
        <v>4017</v>
      </c>
      <c r="G30" s="204">
        <f t="shared" si="0"/>
        <v>2422.81</v>
      </c>
      <c r="H30" s="205">
        <f t="shared" si="6"/>
        <v>1594.19</v>
      </c>
      <c r="I30" s="206">
        <f t="shared" si="1"/>
        <v>0.10879999999999999</v>
      </c>
      <c r="J30" s="205">
        <f t="shared" si="7"/>
        <v>173.44787199999999</v>
      </c>
      <c r="K30" s="207">
        <f t="shared" si="2"/>
        <v>142.19999999999999</v>
      </c>
      <c r="L30" s="205">
        <f t="shared" si="8"/>
        <v>315.64787200000001</v>
      </c>
      <c r="M30" s="207">
        <f t="shared" si="3"/>
        <v>0</v>
      </c>
      <c r="N30" s="249">
        <f t="shared" si="9"/>
        <v>315.64787200000001</v>
      </c>
      <c r="O30" s="249">
        <f t="shared" si="10"/>
        <v>0</v>
      </c>
      <c r="P30" s="31">
        <v>0</v>
      </c>
      <c r="Q30" s="31">
        <f t="shared" si="4"/>
        <v>3701.352128</v>
      </c>
      <c r="R30" s="31"/>
      <c r="S30" s="296"/>
      <c r="U30" s="195">
        <v>0.01</v>
      </c>
      <c r="V30" s="195">
        <v>872.85</v>
      </c>
      <c r="W30" s="195">
        <v>200.85</v>
      </c>
    </row>
    <row r="31" spans="1:24" ht="26.1" customHeight="1">
      <c r="A31" s="163">
        <v>17</v>
      </c>
      <c r="B31" s="273"/>
      <c r="C31" s="23" t="s">
        <v>73</v>
      </c>
      <c r="D31" s="163">
        <v>15</v>
      </c>
      <c r="E31" s="31">
        <v>4017</v>
      </c>
      <c r="F31" s="31">
        <f t="shared" si="5"/>
        <v>4017</v>
      </c>
      <c r="G31" s="204">
        <f t="shared" si="0"/>
        <v>2422.81</v>
      </c>
      <c r="H31" s="205">
        <f t="shared" si="6"/>
        <v>1594.19</v>
      </c>
      <c r="I31" s="206">
        <f t="shared" si="1"/>
        <v>0.10879999999999999</v>
      </c>
      <c r="J31" s="205">
        <f t="shared" si="7"/>
        <v>173.44787199999999</v>
      </c>
      <c r="K31" s="207">
        <f t="shared" si="2"/>
        <v>142.19999999999999</v>
      </c>
      <c r="L31" s="205">
        <f t="shared" si="8"/>
        <v>315.64787200000001</v>
      </c>
      <c r="M31" s="207">
        <f t="shared" si="3"/>
        <v>0</v>
      </c>
      <c r="N31" s="249">
        <f t="shared" si="9"/>
        <v>315.64787200000001</v>
      </c>
      <c r="O31" s="249">
        <f t="shared" si="10"/>
        <v>0</v>
      </c>
      <c r="P31" s="31">
        <v>0</v>
      </c>
      <c r="Q31" s="31">
        <f t="shared" si="4"/>
        <v>3701.352128</v>
      </c>
      <c r="R31" s="31"/>
      <c r="S31" s="296" t="s">
        <v>315</v>
      </c>
      <c r="U31" s="196">
        <v>872.86</v>
      </c>
      <c r="V31" s="197">
        <v>1309.2</v>
      </c>
      <c r="W31" s="196">
        <v>200.7</v>
      </c>
    </row>
    <row r="32" spans="1:24" ht="26.1" customHeight="1">
      <c r="A32" s="163">
        <v>18</v>
      </c>
      <c r="B32" s="273"/>
      <c r="C32" s="23" t="s">
        <v>73</v>
      </c>
      <c r="D32" s="163">
        <v>15</v>
      </c>
      <c r="E32" s="31">
        <v>4017</v>
      </c>
      <c r="F32" s="31">
        <f t="shared" si="5"/>
        <v>4017</v>
      </c>
      <c r="G32" s="204">
        <f t="shared" si="0"/>
        <v>2422.81</v>
      </c>
      <c r="H32" s="205">
        <f t="shared" si="6"/>
        <v>1594.19</v>
      </c>
      <c r="I32" s="206">
        <f t="shared" si="1"/>
        <v>0.10879999999999999</v>
      </c>
      <c r="J32" s="205">
        <f t="shared" si="7"/>
        <v>173.44787199999999</v>
      </c>
      <c r="K32" s="207">
        <f t="shared" si="2"/>
        <v>142.19999999999999</v>
      </c>
      <c r="L32" s="205">
        <f t="shared" si="8"/>
        <v>315.64787200000001</v>
      </c>
      <c r="M32" s="207">
        <f t="shared" si="3"/>
        <v>0</v>
      </c>
      <c r="N32" s="249">
        <f t="shared" si="9"/>
        <v>315.64787200000001</v>
      </c>
      <c r="O32" s="249">
        <f t="shared" si="10"/>
        <v>0</v>
      </c>
      <c r="P32" s="31">
        <v>0</v>
      </c>
      <c r="Q32" s="31">
        <f t="shared" si="4"/>
        <v>3701.352128</v>
      </c>
      <c r="R32" s="31"/>
      <c r="S32" s="296"/>
      <c r="U32" s="197">
        <v>1713.61</v>
      </c>
      <c r="V32" s="197">
        <v>1745.7</v>
      </c>
      <c r="W32" s="196">
        <v>193.8</v>
      </c>
    </row>
    <row r="33" spans="1:23" ht="26.1" customHeight="1">
      <c r="A33" s="163">
        <v>19</v>
      </c>
      <c r="B33" s="273"/>
      <c r="C33" s="23" t="s">
        <v>73</v>
      </c>
      <c r="D33" s="163">
        <v>15</v>
      </c>
      <c r="E33" s="31">
        <v>4017</v>
      </c>
      <c r="F33" s="31">
        <f t="shared" si="5"/>
        <v>4017</v>
      </c>
      <c r="G33" s="204">
        <f t="shared" si="0"/>
        <v>2422.81</v>
      </c>
      <c r="H33" s="205">
        <f t="shared" si="6"/>
        <v>1594.19</v>
      </c>
      <c r="I33" s="206">
        <f t="shared" si="1"/>
        <v>0.10879999999999999</v>
      </c>
      <c r="J33" s="205">
        <f t="shared" si="7"/>
        <v>173.44787199999999</v>
      </c>
      <c r="K33" s="207">
        <f t="shared" si="2"/>
        <v>142.19999999999999</v>
      </c>
      <c r="L33" s="205">
        <f t="shared" si="8"/>
        <v>315.64787200000001</v>
      </c>
      <c r="M33" s="207">
        <f t="shared" si="3"/>
        <v>0</v>
      </c>
      <c r="N33" s="250">
        <f t="shared" si="9"/>
        <v>315.64787200000001</v>
      </c>
      <c r="O33" s="250">
        <f t="shared" si="10"/>
        <v>0</v>
      </c>
      <c r="P33" s="31">
        <v>0</v>
      </c>
      <c r="Q33" s="31">
        <f t="shared" si="4"/>
        <v>3701.352128</v>
      </c>
      <c r="R33" s="31"/>
      <c r="S33" s="296"/>
      <c r="U33" s="197">
        <v>1745.71</v>
      </c>
      <c r="V33" s="197">
        <v>2193.75</v>
      </c>
      <c r="W33" s="196">
        <v>188.7</v>
      </c>
    </row>
    <row r="34" spans="1:23" ht="26.1" customHeight="1">
      <c r="A34" s="163">
        <v>20</v>
      </c>
      <c r="B34" s="273"/>
      <c r="C34" s="23" t="s">
        <v>73</v>
      </c>
      <c r="D34" s="163">
        <v>15</v>
      </c>
      <c r="E34" s="31">
        <v>4017</v>
      </c>
      <c r="F34" s="31">
        <f t="shared" si="5"/>
        <v>4017</v>
      </c>
      <c r="G34" s="204">
        <f t="shared" si="0"/>
        <v>2422.81</v>
      </c>
      <c r="H34" s="205">
        <f>+F34-G34</f>
        <v>1594.19</v>
      </c>
      <c r="I34" s="206">
        <f t="shared" si="1"/>
        <v>0.10879999999999999</v>
      </c>
      <c r="J34" s="205">
        <f>H34*I34</f>
        <v>173.44787199999999</v>
      </c>
      <c r="K34" s="207">
        <f t="shared" si="2"/>
        <v>142.19999999999999</v>
      </c>
      <c r="L34" s="205">
        <f>+J34+K34</f>
        <v>315.64787200000001</v>
      </c>
      <c r="M34" s="207">
        <f t="shared" si="3"/>
        <v>0</v>
      </c>
      <c r="N34" s="250">
        <f>IF(L34-M34&gt;0,L34-M34,0)</f>
        <v>315.64787200000001</v>
      </c>
      <c r="O34" s="250">
        <f>IF(M34-L34&gt;0,M34-L34,0)</f>
        <v>0</v>
      </c>
      <c r="P34" s="31">
        <v>0</v>
      </c>
      <c r="Q34" s="31">
        <f t="shared" si="4"/>
        <v>3701.352128</v>
      </c>
      <c r="R34" s="31"/>
      <c r="S34" s="296"/>
      <c r="U34" s="197"/>
      <c r="V34" s="197"/>
      <c r="W34" s="196"/>
    </row>
    <row r="35" spans="1:23" ht="26.1" customHeight="1">
      <c r="A35" s="163">
        <v>21</v>
      </c>
      <c r="B35" s="273"/>
      <c r="C35" s="23" t="s">
        <v>73</v>
      </c>
      <c r="D35" s="163">
        <v>15</v>
      </c>
      <c r="E35" s="31">
        <v>4017</v>
      </c>
      <c r="F35" s="31">
        <f t="shared" si="5"/>
        <v>4017</v>
      </c>
      <c r="G35" s="204">
        <f t="shared" si="0"/>
        <v>2422.81</v>
      </c>
      <c r="H35" s="205">
        <f>+F35-G35</f>
        <v>1594.19</v>
      </c>
      <c r="I35" s="206">
        <f t="shared" si="1"/>
        <v>0.10879999999999999</v>
      </c>
      <c r="J35" s="205">
        <f>H35*I35</f>
        <v>173.44787199999999</v>
      </c>
      <c r="K35" s="207">
        <f t="shared" si="2"/>
        <v>142.19999999999999</v>
      </c>
      <c r="L35" s="205">
        <f>+J35+K35</f>
        <v>315.64787200000001</v>
      </c>
      <c r="M35" s="207">
        <f t="shared" si="3"/>
        <v>0</v>
      </c>
      <c r="N35" s="250">
        <f>IF(L35-M35&gt;0,L35-M35,0)</f>
        <v>315.64787200000001</v>
      </c>
      <c r="O35" s="250">
        <f>IF(M35-L35&gt;0,M35-L35,0)</f>
        <v>0</v>
      </c>
      <c r="P35" s="31">
        <v>0</v>
      </c>
      <c r="Q35" s="31">
        <f t="shared" si="4"/>
        <v>3701.352128</v>
      </c>
      <c r="R35" s="31"/>
      <c r="S35" s="296"/>
      <c r="U35" s="197"/>
      <c r="V35" s="197"/>
      <c r="W35" s="196"/>
    </row>
    <row r="36" spans="1:23" ht="26.1" customHeight="1">
      <c r="A36" s="163">
        <v>22</v>
      </c>
      <c r="B36" s="302"/>
      <c r="C36" s="23" t="s">
        <v>73</v>
      </c>
      <c r="D36" s="163">
        <v>15</v>
      </c>
      <c r="E36" s="31">
        <v>4017</v>
      </c>
      <c r="F36" s="31">
        <f t="shared" si="5"/>
        <v>4017</v>
      </c>
      <c r="G36" s="204">
        <f t="shared" si="0"/>
        <v>2422.81</v>
      </c>
      <c r="H36" s="205">
        <f>+F36-G36</f>
        <v>1594.19</v>
      </c>
      <c r="I36" s="206">
        <f t="shared" si="1"/>
        <v>0.10879999999999999</v>
      </c>
      <c r="J36" s="205">
        <f>H36*I36</f>
        <v>173.44787199999999</v>
      </c>
      <c r="K36" s="207">
        <f t="shared" si="2"/>
        <v>142.19999999999999</v>
      </c>
      <c r="L36" s="205">
        <f>+J36+K36</f>
        <v>315.64787200000001</v>
      </c>
      <c r="M36" s="207">
        <f t="shared" si="3"/>
        <v>0</v>
      </c>
      <c r="N36" s="250">
        <f>IF(L36-M36&gt;0,L36-M36,0)</f>
        <v>315.64787200000001</v>
      </c>
      <c r="O36" s="250">
        <f>IF(M36-L36&gt;0,M36-L36,0)</f>
        <v>0</v>
      </c>
      <c r="P36" s="31">
        <v>0</v>
      </c>
      <c r="Q36" s="31">
        <f t="shared" si="4"/>
        <v>3701.352128</v>
      </c>
      <c r="R36" s="31"/>
      <c r="S36" s="296"/>
      <c r="U36" s="197"/>
      <c r="V36" s="197"/>
      <c r="W36" s="196"/>
    </row>
    <row r="37" spans="1:23" ht="26.1" customHeight="1">
      <c r="A37" s="163">
        <v>23</v>
      </c>
      <c r="B37" s="302"/>
      <c r="C37" s="23" t="s">
        <v>73</v>
      </c>
      <c r="D37" s="301">
        <v>15</v>
      </c>
      <c r="E37" s="31">
        <v>4017</v>
      </c>
      <c r="F37" s="31">
        <f>(E37/15)*D37</f>
        <v>4017</v>
      </c>
      <c r="G37" s="204">
        <f t="shared" si="0"/>
        <v>2422.81</v>
      </c>
      <c r="H37" s="205">
        <f>+F37-G37</f>
        <v>1594.19</v>
      </c>
      <c r="I37" s="206">
        <f t="shared" si="1"/>
        <v>0.10879999999999999</v>
      </c>
      <c r="J37" s="205">
        <f>H37*I37</f>
        <v>173.44787199999999</v>
      </c>
      <c r="K37" s="207">
        <f t="shared" si="2"/>
        <v>142.19999999999999</v>
      </c>
      <c r="L37" s="205">
        <f>+J37+K37</f>
        <v>315.64787200000001</v>
      </c>
      <c r="M37" s="207">
        <f t="shared" si="3"/>
        <v>0</v>
      </c>
      <c r="N37" s="250">
        <f>IF(L37-M37&gt;0,L37-M37,0)</f>
        <v>315.64787200000001</v>
      </c>
      <c r="O37" s="250">
        <f>IF(M37-L37&gt;0,M37-L37,0)</f>
        <v>0</v>
      </c>
      <c r="P37" s="31">
        <v>0</v>
      </c>
      <c r="Q37" s="31">
        <f>+F37-N37+O37-P37</f>
        <v>3701.352128</v>
      </c>
      <c r="R37" s="31"/>
      <c r="S37" s="296"/>
      <c r="U37" s="197"/>
      <c r="V37" s="197"/>
      <c r="W37" s="196"/>
    </row>
    <row r="38" spans="1:23" ht="26.1" customHeight="1">
      <c r="A38" s="301">
        <v>24</v>
      </c>
      <c r="B38" s="302"/>
      <c r="C38" s="23" t="s">
        <v>73</v>
      </c>
      <c r="D38" s="301">
        <v>15</v>
      </c>
      <c r="E38" s="31">
        <v>4017</v>
      </c>
      <c r="F38" s="31">
        <f>(E38/15)*D38</f>
        <v>4017</v>
      </c>
      <c r="G38" s="204">
        <f t="shared" si="0"/>
        <v>2422.81</v>
      </c>
      <c r="H38" s="205">
        <f>+F38-G38</f>
        <v>1594.19</v>
      </c>
      <c r="I38" s="206">
        <f t="shared" si="1"/>
        <v>0.10879999999999999</v>
      </c>
      <c r="J38" s="205">
        <f>H38*I38</f>
        <v>173.44787199999999</v>
      </c>
      <c r="K38" s="207">
        <f t="shared" si="2"/>
        <v>142.19999999999999</v>
      </c>
      <c r="L38" s="205">
        <f>+J38+K38</f>
        <v>315.64787200000001</v>
      </c>
      <c r="M38" s="207">
        <f t="shared" si="3"/>
        <v>0</v>
      </c>
      <c r="N38" s="250">
        <f>IF(L38-M38&gt;0,L38-M38,0)</f>
        <v>315.64787200000001</v>
      </c>
      <c r="O38" s="250">
        <f>IF(M38-L38&gt;0,M38-L38,0)</f>
        <v>0</v>
      </c>
      <c r="P38" s="31">
        <v>0</v>
      </c>
      <c r="Q38" s="31">
        <f>+F38-N38+O38-P38</f>
        <v>3701.352128</v>
      </c>
      <c r="R38" s="31"/>
      <c r="S38" s="296" t="s">
        <v>315</v>
      </c>
      <c r="U38" s="197">
        <v>2327.56</v>
      </c>
      <c r="V38" s="197">
        <v>2632.65</v>
      </c>
      <c r="W38" s="196">
        <v>160.35</v>
      </c>
    </row>
    <row r="39" spans="1:23" ht="16.149999999999999" customHeight="1">
      <c r="A39" s="53"/>
      <c r="B39" s="35"/>
      <c r="C39" s="35"/>
      <c r="D39" s="35"/>
      <c r="E39" s="40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293"/>
      <c r="U39" s="197">
        <v>2632.66</v>
      </c>
      <c r="V39" s="197">
        <v>3071.4</v>
      </c>
      <c r="W39" s="196">
        <v>145.35</v>
      </c>
    </row>
    <row r="40" spans="1:23" ht="26.1" customHeight="1" thickBot="1">
      <c r="A40" s="318" t="s">
        <v>80</v>
      </c>
      <c r="B40" s="319"/>
      <c r="C40" s="319"/>
      <c r="D40" s="203"/>
      <c r="E40" s="95">
        <f t="shared" ref="E40:Q40" si="11">SUM(E15:E38)</f>
        <v>98462.44</v>
      </c>
      <c r="F40" s="95">
        <f t="shared" si="11"/>
        <v>98462.44</v>
      </c>
      <c r="G40" s="95">
        <f t="shared" si="11"/>
        <v>65320.739999999976</v>
      </c>
      <c r="H40" s="95">
        <f t="shared" si="11"/>
        <v>33141.69999999999</v>
      </c>
      <c r="I40" s="95">
        <f t="shared" si="11"/>
        <v>2.8184</v>
      </c>
      <c r="J40" s="95">
        <f t="shared" si="11"/>
        <v>3704.3940080000016</v>
      </c>
      <c r="K40" s="95">
        <f t="shared" si="11"/>
        <v>4297.4999999999982</v>
      </c>
      <c r="L40" s="95">
        <f t="shared" si="11"/>
        <v>8001.8940079999957</v>
      </c>
      <c r="M40" s="95">
        <f t="shared" si="11"/>
        <v>250.2</v>
      </c>
      <c r="N40" s="95">
        <f t="shared" si="11"/>
        <v>7751.6940079999968</v>
      </c>
      <c r="O40" s="95">
        <f t="shared" si="11"/>
        <v>0</v>
      </c>
      <c r="P40" s="95">
        <f t="shared" si="11"/>
        <v>0</v>
      </c>
      <c r="Q40" s="95">
        <f t="shared" si="11"/>
        <v>90710.745991999967</v>
      </c>
      <c r="R40" s="95"/>
      <c r="S40" s="293"/>
      <c r="U40" s="197">
        <v>3071.41</v>
      </c>
      <c r="V40" s="197">
        <v>3510.15</v>
      </c>
      <c r="W40" s="196">
        <v>125.1</v>
      </c>
    </row>
    <row r="41" spans="1:23" ht="13.5" thickTop="1">
      <c r="S41" s="293"/>
      <c r="U41" s="197">
        <v>3510.16</v>
      </c>
      <c r="V41" s="197">
        <v>3642.6</v>
      </c>
      <c r="W41" s="196">
        <v>107.4</v>
      </c>
    </row>
    <row r="42" spans="1:23" ht="13.5" thickBot="1">
      <c r="Q42" s="167"/>
      <c r="S42" s="293"/>
      <c r="U42" s="198">
        <v>3642.61</v>
      </c>
      <c r="V42" s="199" t="s">
        <v>287</v>
      </c>
      <c r="W42" s="199">
        <v>0</v>
      </c>
    </row>
    <row r="43" spans="1:23" ht="13.5" thickTop="1">
      <c r="Q43" s="167"/>
      <c r="S43" s="293"/>
      <c r="U43" s="114"/>
    </row>
    <row r="44" spans="1:23">
      <c r="U44" s="114"/>
    </row>
    <row r="45" spans="1:23">
      <c r="U45" s="114"/>
    </row>
    <row r="46" spans="1:23">
      <c r="B46" s="46" t="s">
        <v>172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125"/>
      <c r="R46" s="125"/>
      <c r="U46" s="114"/>
    </row>
    <row r="47" spans="1:23">
      <c r="B47" s="45" t="s">
        <v>159</v>
      </c>
      <c r="Q47" s="333" t="s">
        <v>289</v>
      </c>
      <c r="R47" s="333"/>
      <c r="U47" s="114"/>
    </row>
    <row r="48" spans="1:23">
      <c r="B48" s="46" t="s">
        <v>11</v>
      </c>
      <c r="C48" s="46"/>
      <c r="D48" s="49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314" t="s">
        <v>235</v>
      </c>
      <c r="R48" s="314"/>
      <c r="U48" s="114"/>
    </row>
    <row r="49" spans="17:21">
      <c r="R49" s="114"/>
      <c r="U49" s="114"/>
    </row>
    <row r="50" spans="17:21">
      <c r="R50" s="114"/>
      <c r="U50" s="114"/>
    </row>
    <row r="51" spans="17:21">
      <c r="Q51" s="167"/>
      <c r="R51" s="114"/>
      <c r="U51" s="114"/>
    </row>
    <row r="52" spans="17:21">
      <c r="R52" s="114"/>
      <c r="U52" s="114"/>
    </row>
    <row r="53" spans="17:21">
      <c r="R53" s="114"/>
      <c r="U53" s="114"/>
    </row>
    <row r="54" spans="17:21">
      <c r="R54" s="114"/>
      <c r="U54" s="114"/>
    </row>
    <row r="55" spans="17:21">
      <c r="R55" s="114"/>
      <c r="U55" s="114"/>
    </row>
    <row r="56" spans="17:21">
      <c r="R56" s="114"/>
      <c r="U56" s="114"/>
    </row>
    <row r="57" spans="17:21">
      <c r="R57" s="114"/>
      <c r="U57" s="114"/>
    </row>
    <row r="58" spans="17:21">
      <c r="R58" s="114"/>
      <c r="U58" s="114"/>
    </row>
    <row r="59" spans="17:21">
      <c r="R59" s="114"/>
      <c r="U59" s="114"/>
    </row>
    <row r="60" spans="17:21">
      <c r="R60" s="114"/>
      <c r="U60" s="114"/>
    </row>
    <row r="61" spans="17:21">
      <c r="R61" s="114"/>
      <c r="U61" s="114"/>
    </row>
    <row r="62" spans="17:21">
      <c r="R62" s="114"/>
      <c r="U62" s="114"/>
    </row>
    <row r="63" spans="17:21">
      <c r="R63" s="114"/>
      <c r="U63" s="114"/>
    </row>
    <row r="64" spans="17:21">
      <c r="R64" s="114"/>
      <c r="U64" s="114"/>
    </row>
    <row r="65" spans="18:21">
      <c r="R65" s="114"/>
      <c r="U65" s="114"/>
    </row>
    <row r="66" spans="18:21">
      <c r="R66" s="114"/>
      <c r="U66" s="114"/>
    </row>
    <row r="67" spans="18:21">
      <c r="R67" s="114"/>
      <c r="U67" s="114"/>
    </row>
    <row r="68" spans="18:21">
      <c r="R68" s="114"/>
      <c r="U68" s="114"/>
    </row>
    <row r="69" spans="18:21">
      <c r="R69" s="114"/>
      <c r="U69" s="114"/>
    </row>
    <row r="70" spans="18:21">
      <c r="R70" s="114"/>
      <c r="U70" s="114"/>
    </row>
    <row r="71" spans="18:21">
      <c r="R71" s="114"/>
      <c r="U71" s="114"/>
    </row>
    <row r="72" spans="18:21">
      <c r="R72" s="114"/>
      <c r="U72" s="114"/>
    </row>
    <row r="73" spans="18:21">
      <c r="R73" s="114"/>
      <c r="U73" s="114"/>
    </row>
    <row r="74" spans="18:21">
      <c r="R74" s="114"/>
      <c r="U74" s="114"/>
    </row>
    <row r="75" spans="18:21">
      <c r="R75" s="114"/>
      <c r="U75" s="114"/>
    </row>
    <row r="76" spans="18:21">
      <c r="R76" s="114"/>
      <c r="U76" s="114"/>
    </row>
    <row r="77" spans="18:21">
      <c r="R77" s="114"/>
      <c r="U77" s="114"/>
    </row>
    <row r="78" spans="18:21">
      <c r="R78" s="114"/>
      <c r="U78" s="114"/>
    </row>
    <row r="79" spans="18:21">
      <c r="R79" s="114"/>
      <c r="U79" s="114"/>
    </row>
    <row r="80" spans="18:21">
      <c r="R80" s="114"/>
      <c r="U80" s="114"/>
    </row>
    <row r="81" spans="1:21">
      <c r="R81" s="114"/>
      <c r="U81" s="114"/>
    </row>
    <row r="82" spans="1:21">
      <c r="R82" s="114"/>
      <c r="U82" s="114"/>
    </row>
    <row r="83" spans="1:21">
      <c r="R83" s="114"/>
      <c r="U83" s="114"/>
    </row>
    <row r="84" spans="1:21">
      <c r="R84" s="114"/>
      <c r="U84" s="114"/>
    </row>
    <row r="85" spans="1:21">
      <c r="R85" s="114"/>
      <c r="U85" s="114"/>
    </row>
    <row r="86" spans="1:21">
      <c r="R86" s="114"/>
      <c r="U86" s="114"/>
    </row>
    <row r="87" spans="1:21">
      <c r="R87" s="114"/>
    </row>
    <row r="88" spans="1:21">
      <c r="R88" s="114"/>
    </row>
    <row r="89" spans="1:21">
      <c r="R89" s="114"/>
    </row>
    <row r="90" spans="1:21" ht="18">
      <c r="A90" s="358"/>
      <c r="B90" s="358"/>
      <c r="C90" s="358"/>
      <c r="D90" s="358"/>
      <c r="E90" s="358"/>
      <c r="F90" s="358"/>
      <c r="G90" s="358"/>
      <c r="H90" s="358"/>
      <c r="I90" s="358"/>
      <c r="J90" s="358"/>
      <c r="K90" s="358"/>
      <c r="L90" s="358"/>
      <c r="M90" s="358"/>
      <c r="N90" s="358"/>
      <c r="O90" s="358"/>
      <c r="P90" s="358"/>
      <c r="Q90" s="358"/>
      <c r="R90" s="358"/>
    </row>
    <row r="91" spans="1:21" ht="35.1" customHeight="1">
      <c r="A91" s="351" t="s">
        <v>12</v>
      </c>
      <c r="B91" s="352"/>
      <c r="C91" s="352"/>
      <c r="D91" s="352"/>
      <c r="E91" s="352"/>
      <c r="F91" s="352"/>
      <c r="G91" s="352"/>
      <c r="H91" s="352"/>
      <c r="I91" s="352"/>
      <c r="J91" s="352"/>
      <c r="K91" s="352"/>
      <c r="L91" s="352"/>
      <c r="M91" s="352"/>
      <c r="N91" s="352"/>
      <c r="O91" s="352"/>
      <c r="P91" s="352"/>
      <c r="Q91" s="352"/>
      <c r="R91" s="353"/>
    </row>
    <row r="92" spans="1:21" ht="35.1" customHeight="1">
      <c r="A92" s="328" t="str">
        <f>A9</f>
        <v>SUELDOS 2DA QUINCENA DE AGOSTO DE  2018</v>
      </c>
      <c r="B92" s="331"/>
      <c r="C92" s="331"/>
      <c r="D92" s="331"/>
      <c r="E92" s="331"/>
      <c r="F92" s="331"/>
      <c r="G92" s="331"/>
      <c r="H92" s="331"/>
      <c r="I92" s="331"/>
      <c r="J92" s="331"/>
      <c r="K92" s="331"/>
      <c r="L92" s="331"/>
      <c r="M92" s="331"/>
      <c r="N92" s="331"/>
      <c r="O92" s="331"/>
      <c r="P92" s="331"/>
      <c r="Q92" s="331"/>
      <c r="R92" s="332"/>
    </row>
    <row r="93" spans="1:21" ht="35.1" customHeight="1">
      <c r="A93" s="355" t="s">
        <v>226</v>
      </c>
      <c r="B93" s="356"/>
      <c r="C93" s="356"/>
      <c r="D93" s="356"/>
      <c r="E93" s="356"/>
      <c r="F93" s="356"/>
      <c r="G93" s="356"/>
      <c r="H93" s="356"/>
      <c r="I93" s="356"/>
      <c r="J93" s="356"/>
      <c r="K93" s="356"/>
      <c r="L93" s="356"/>
      <c r="M93" s="356"/>
      <c r="N93" s="356"/>
      <c r="O93" s="356"/>
      <c r="P93" s="356"/>
      <c r="Q93" s="356"/>
      <c r="R93" s="357"/>
    </row>
    <row r="94" spans="1:21">
      <c r="A94" s="90"/>
      <c r="B94" s="90"/>
      <c r="C94" s="90"/>
      <c r="D94" s="226" t="s">
        <v>4</v>
      </c>
      <c r="E94" s="115"/>
      <c r="F94" s="93"/>
      <c r="G94" s="359" t="s">
        <v>290</v>
      </c>
      <c r="H94" s="360"/>
      <c r="I94" s="360"/>
      <c r="J94" s="360"/>
      <c r="K94" s="360"/>
      <c r="L94" s="360"/>
      <c r="M94" s="360"/>
      <c r="N94" s="360"/>
      <c r="O94" s="360"/>
      <c r="P94" s="241"/>
      <c r="Q94" s="241"/>
      <c r="R94" s="240"/>
    </row>
    <row r="95" spans="1:21">
      <c r="A95" s="94" t="s">
        <v>3</v>
      </c>
      <c r="B95" s="91"/>
      <c r="C95" s="91"/>
      <c r="D95" s="225" t="s">
        <v>5</v>
      </c>
      <c r="E95" s="92" t="s">
        <v>1</v>
      </c>
      <c r="F95" s="93" t="s">
        <v>227</v>
      </c>
      <c r="G95" s="359" t="s">
        <v>270</v>
      </c>
      <c r="H95" s="360"/>
      <c r="I95" s="360"/>
      <c r="J95" s="360"/>
      <c r="K95" s="360"/>
      <c r="L95" s="360"/>
      <c r="M95" s="360"/>
      <c r="N95" s="360"/>
      <c r="O95" s="361"/>
      <c r="P95" s="91" t="s">
        <v>244</v>
      </c>
      <c r="Q95" s="91" t="s">
        <v>234</v>
      </c>
      <c r="R95" s="91"/>
    </row>
    <row r="96" spans="1:21">
      <c r="A96" s="94"/>
      <c r="B96" s="92"/>
      <c r="C96" s="92" t="s">
        <v>10</v>
      </c>
      <c r="D96" s="91"/>
      <c r="E96" s="91" t="s">
        <v>229</v>
      </c>
      <c r="F96" s="92" t="s">
        <v>230</v>
      </c>
      <c r="G96" s="237" t="s">
        <v>272</v>
      </c>
      <c r="H96" s="237" t="s">
        <v>273</v>
      </c>
      <c r="I96" s="237" t="s">
        <v>282</v>
      </c>
      <c r="J96" s="237" t="s">
        <v>274</v>
      </c>
      <c r="K96" s="237" t="s">
        <v>275</v>
      </c>
      <c r="L96" s="237" t="s">
        <v>271</v>
      </c>
      <c r="M96" s="237" t="s">
        <v>283</v>
      </c>
      <c r="N96" s="238" t="s">
        <v>271</v>
      </c>
      <c r="O96" s="237" t="s">
        <v>286</v>
      </c>
      <c r="P96" s="91" t="s">
        <v>246</v>
      </c>
      <c r="Q96" s="91" t="s">
        <v>233</v>
      </c>
      <c r="R96" s="91" t="s">
        <v>232</v>
      </c>
    </row>
    <row r="97" spans="1:22">
      <c r="A97" s="93"/>
      <c r="B97" s="93" t="s">
        <v>239</v>
      </c>
      <c r="C97" s="93" t="s">
        <v>9</v>
      </c>
      <c r="D97" s="93"/>
      <c r="E97" s="93"/>
      <c r="F97" s="93"/>
      <c r="G97" s="239" t="s">
        <v>277</v>
      </c>
      <c r="H97" s="239" t="s">
        <v>278</v>
      </c>
      <c r="I97" s="239" t="s">
        <v>278</v>
      </c>
      <c r="J97" s="239" t="s">
        <v>279</v>
      </c>
      <c r="K97" s="239" t="s">
        <v>280</v>
      </c>
      <c r="L97" s="239" t="s">
        <v>281</v>
      </c>
      <c r="M97" s="239" t="s">
        <v>284</v>
      </c>
      <c r="N97" s="237" t="s">
        <v>276</v>
      </c>
      <c r="O97" s="239" t="s">
        <v>285</v>
      </c>
      <c r="P97" s="93"/>
      <c r="Q97" s="93"/>
      <c r="R97" s="93"/>
    </row>
    <row r="98" spans="1:22">
      <c r="C98" s="185"/>
      <c r="D98" s="230"/>
      <c r="E98" s="185"/>
      <c r="F98" s="185"/>
      <c r="G98" s="185"/>
      <c r="H98" s="185"/>
      <c r="I98" s="185"/>
      <c r="J98" s="185"/>
      <c r="K98" s="185"/>
      <c r="L98" s="185"/>
      <c r="M98" s="185"/>
      <c r="N98" s="185"/>
      <c r="O98" s="185"/>
      <c r="P98" s="185"/>
      <c r="Q98" s="185"/>
      <c r="R98" s="185"/>
    </row>
    <row r="99" spans="1:22" ht="50.1" customHeight="1">
      <c r="A99" s="61">
        <v>1</v>
      </c>
      <c r="B99" s="186" t="s">
        <v>182</v>
      </c>
      <c r="C99" s="6" t="s">
        <v>183</v>
      </c>
      <c r="D99" s="7">
        <v>15</v>
      </c>
      <c r="E99" s="32">
        <v>3486.55</v>
      </c>
      <c r="F99" s="31">
        <f>(E99/15)*D99</f>
        <v>3486.55</v>
      </c>
      <c r="G99" s="204">
        <f>VLOOKUP(F99,$U$14:$X$23,1)</f>
        <v>2422.81</v>
      </c>
      <c r="H99" s="205">
        <f>+F99-G99</f>
        <v>1063.7400000000002</v>
      </c>
      <c r="I99" s="206">
        <f>VLOOKUP(F99,$U$14:$X$23,4)</f>
        <v>0.10879999999999999</v>
      </c>
      <c r="J99" s="205">
        <f>H99*I99</f>
        <v>115.73491200000002</v>
      </c>
      <c r="K99" s="207">
        <f>VLOOKUP(F99,$U$14:$X$23,3)</f>
        <v>142.19999999999999</v>
      </c>
      <c r="L99" s="205">
        <f>+J99+K99</f>
        <v>257.934912</v>
      </c>
      <c r="M99" s="207">
        <f>VLOOKUP(F99,$U$30:$W$42,3)</f>
        <v>125.1</v>
      </c>
      <c r="N99" s="248">
        <f>IF(L99-M99&gt;0,L99-M99,0)</f>
        <v>132.834912</v>
      </c>
      <c r="O99" s="248">
        <f>IF(M99-L99&gt;0,M99-L99,0)</f>
        <v>0</v>
      </c>
      <c r="P99" s="31">
        <v>0</v>
      </c>
      <c r="Q99" s="31">
        <f>+F99-N99+O99-P99</f>
        <v>3353.7150880000004</v>
      </c>
      <c r="R99" s="31"/>
      <c r="U99" s="114">
        <v>6770</v>
      </c>
      <c r="V99" s="116">
        <f>U99/2</f>
        <v>3385</v>
      </c>
    </row>
    <row r="100" spans="1:22" ht="50.1" customHeight="1">
      <c r="A100" s="37">
        <v>2</v>
      </c>
      <c r="B100" s="6" t="s">
        <v>184</v>
      </c>
      <c r="C100" s="6" t="s">
        <v>185</v>
      </c>
      <c r="D100" s="7">
        <v>15</v>
      </c>
      <c r="E100" s="32">
        <v>3486.55</v>
      </c>
      <c r="F100" s="31">
        <f>(E100/15)*D100</f>
        <v>3486.55</v>
      </c>
      <c r="G100" s="204">
        <f>VLOOKUP(F100,$U$14:$X$23,1)</f>
        <v>2422.81</v>
      </c>
      <c r="H100" s="205">
        <f>+F100-G100</f>
        <v>1063.7400000000002</v>
      </c>
      <c r="I100" s="206">
        <f>VLOOKUP(F100,$U$14:$X$23,4)</f>
        <v>0.10879999999999999</v>
      </c>
      <c r="J100" s="205">
        <f>H100*I100</f>
        <v>115.73491200000002</v>
      </c>
      <c r="K100" s="207">
        <f>VLOOKUP(F100,$U$14:$X$23,3)</f>
        <v>142.19999999999999</v>
      </c>
      <c r="L100" s="205">
        <f>+J100+K100</f>
        <v>257.934912</v>
      </c>
      <c r="M100" s="207">
        <f>VLOOKUP(F100,$U$30:$W$42,3)</f>
        <v>125.1</v>
      </c>
      <c r="N100" s="249">
        <f>IF(L100-M100&gt;0,L100-M100,0)</f>
        <v>132.834912</v>
      </c>
      <c r="O100" s="249">
        <f>IF(M100-L100&gt;0,M100-L100,0)</f>
        <v>0</v>
      </c>
      <c r="P100" s="31">
        <v>0</v>
      </c>
      <c r="Q100" s="31">
        <f>+F100-N100+O100-P100</f>
        <v>3353.7150880000004</v>
      </c>
      <c r="R100" s="31"/>
      <c r="U100" s="114">
        <v>6770</v>
      </c>
      <c r="V100" s="116">
        <f>U100/2</f>
        <v>3385</v>
      </c>
    </row>
    <row r="101" spans="1:22" ht="50.1" customHeight="1">
      <c r="A101" s="130">
        <v>3</v>
      </c>
      <c r="B101" s="6" t="s">
        <v>252</v>
      </c>
      <c r="C101" s="6" t="s">
        <v>185</v>
      </c>
      <c r="D101" s="7">
        <v>15</v>
      </c>
      <c r="E101" s="32">
        <v>2575</v>
      </c>
      <c r="F101" s="31">
        <f>(E101/15)*D101</f>
        <v>2575</v>
      </c>
      <c r="G101" s="204">
        <f>VLOOKUP(F101,$U$14:$X$23,1)</f>
        <v>2422.81</v>
      </c>
      <c r="H101" s="205">
        <f>+F101-G101</f>
        <v>152.19000000000005</v>
      </c>
      <c r="I101" s="206">
        <f>VLOOKUP(F101,$U$14:$X$23,4)</f>
        <v>0.10879999999999999</v>
      </c>
      <c r="J101" s="205">
        <f>H101*I101</f>
        <v>16.558272000000006</v>
      </c>
      <c r="K101" s="207">
        <f>VLOOKUP(F101,$U$14:$X$23,3)</f>
        <v>142.19999999999999</v>
      </c>
      <c r="L101" s="205">
        <f>+J101+K101</f>
        <v>158.75827200000001</v>
      </c>
      <c r="M101" s="207">
        <f>VLOOKUP(F101,$U$30:$W$42,3)</f>
        <v>160.35</v>
      </c>
      <c r="N101" s="249">
        <f>IF(L101-M101&gt;0,L101-M101,0)</f>
        <v>0</v>
      </c>
      <c r="O101" s="249">
        <f>IF(M101-L101&gt;0,M101-L101,0)</f>
        <v>1.5917279999999892</v>
      </c>
      <c r="P101" s="31">
        <v>0</v>
      </c>
      <c r="Q101" s="31">
        <f>+F101-N101+O101-P101</f>
        <v>2576.5917279999999</v>
      </c>
      <c r="R101" s="31"/>
      <c r="U101" s="114">
        <v>4170</v>
      </c>
      <c r="V101" s="116">
        <f>U101/2</f>
        <v>2085</v>
      </c>
    </row>
    <row r="102" spans="1:22" ht="50.1" customHeight="1">
      <c r="A102" s="59">
        <v>4</v>
      </c>
      <c r="B102" s="6" t="s">
        <v>251</v>
      </c>
      <c r="C102" s="6" t="s">
        <v>41</v>
      </c>
      <c r="D102" s="7">
        <v>15</v>
      </c>
      <c r="E102" s="32">
        <v>2575</v>
      </c>
      <c r="F102" s="31">
        <f>(E102/15)*D102</f>
        <v>2575</v>
      </c>
      <c r="G102" s="204">
        <f>VLOOKUP(F102,$U$14:$X$23,1)</f>
        <v>2422.81</v>
      </c>
      <c r="H102" s="205">
        <f>+F102-G102</f>
        <v>152.19000000000005</v>
      </c>
      <c r="I102" s="206">
        <f>VLOOKUP(F102,$U$14:$X$23,4)</f>
        <v>0.10879999999999999</v>
      </c>
      <c r="J102" s="205">
        <f>H102*I102</f>
        <v>16.558272000000006</v>
      </c>
      <c r="K102" s="207">
        <f>VLOOKUP(F102,$U$14:$X$23,3)</f>
        <v>142.19999999999999</v>
      </c>
      <c r="L102" s="205">
        <f>+J102+K102</f>
        <v>158.75827200000001</v>
      </c>
      <c r="M102" s="207">
        <f>VLOOKUP(F102,$U$30:$W$42,3)</f>
        <v>160.35</v>
      </c>
      <c r="N102" s="250">
        <f>IF(L102-M102&gt;0,L102-M102,0)</f>
        <v>0</v>
      </c>
      <c r="O102" s="250">
        <f>IF(M102-L102&gt;0,M102-L102,0)</f>
        <v>1.5917279999999892</v>
      </c>
      <c r="P102" s="31">
        <v>0</v>
      </c>
      <c r="Q102" s="31">
        <f>+F102-N102+O102-P102</f>
        <v>2576.5917279999999</v>
      </c>
      <c r="R102" s="31"/>
      <c r="U102" s="114">
        <v>4170</v>
      </c>
      <c r="V102" s="116">
        <f>U102/2</f>
        <v>2085</v>
      </c>
    </row>
    <row r="103" spans="1:22" ht="27" customHeight="1">
      <c r="A103" s="187"/>
      <c r="B103" s="17"/>
      <c r="C103" s="17"/>
      <c r="D103" s="172"/>
      <c r="E103" s="55"/>
    </row>
    <row r="104" spans="1:22" ht="33" customHeight="1" thickBot="1">
      <c r="A104" s="318" t="s">
        <v>80</v>
      </c>
      <c r="B104" s="319"/>
      <c r="C104" s="319"/>
      <c r="D104" s="203"/>
      <c r="E104" s="43">
        <f>SUM(E99:E103)</f>
        <v>12123.1</v>
      </c>
      <c r="F104" s="43">
        <f>SUM(F99:F103)</f>
        <v>12123.1</v>
      </c>
      <c r="G104" s="43">
        <f t="shared" ref="G104:O104" si="12">SUM(G99:G103)</f>
        <v>9691.24</v>
      </c>
      <c r="H104" s="43">
        <f t="shared" si="12"/>
        <v>2431.8600000000006</v>
      </c>
      <c r="I104" s="43">
        <f t="shared" si="12"/>
        <v>0.43519999999999998</v>
      </c>
      <c r="J104" s="43">
        <f t="shared" si="12"/>
        <v>264.58636800000005</v>
      </c>
      <c r="K104" s="43">
        <f t="shared" si="12"/>
        <v>568.79999999999995</v>
      </c>
      <c r="L104" s="43">
        <f t="shared" si="12"/>
        <v>833.38636800000006</v>
      </c>
      <c r="M104" s="43">
        <f t="shared" si="12"/>
        <v>570.9</v>
      </c>
      <c r="N104" s="43">
        <f t="shared" si="12"/>
        <v>265.66982400000001</v>
      </c>
      <c r="O104" s="43">
        <f t="shared" si="12"/>
        <v>3.1834559999999783</v>
      </c>
      <c r="P104" s="43">
        <f>SUM(P99:P103)</f>
        <v>0</v>
      </c>
      <c r="Q104" s="43">
        <f>SUM(Q99:Q103)</f>
        <v>11860.613632000001</v>
      </c>
      <c r="R104" s="43"/>
    </row>
    <row r="105" spans="1:22" ht="13.5" thickTop="1"/>
    <row r="111" spans="1:22">
      <c r="Q111" s="354"/>
      <c r="R111" s="354"/>
    </row>
    <row r="112" spans="1:22">
      <c r="B112" s="46" t="s">
        <v>11</v>
      </c>
      <c r="C112" s="46"/>
      <c r="D112" s="49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314" t="s">
        <v>235</v>
      </c>
      <c r="R112" s="314"/>
    </row>
    <row r="117" spans="2:18">
      <c r="B117" s="36"/>
      <c r="C117" s="56"/>
      <c r="D117" s="231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</row>
    <row r="118" spans="2:18">
      <c r="B118" s="49"/>
      <c r="C118" s="46"/>
      <c r="D118" s="49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</row>
  </sheetData>
  <sheetProtection selectLockedCells="1" selectUnlockedCells="1"/>
  <mergeCells count="18">
    <mergeCell ref="A7:R7"/>
    <mergeCell ref="A9:R9"/>
    <mergeCell ref="A10:R10"/>
    <mergeCell ref="A40:C40"/>
    <mergeCell ref="Q47:R47"/>
    <mergeCell ref="G11:O11"/>
    <mergeCell ref="G12:O12"/>
    <mergeCell ref="Q112:R112"/>
    <mergeCell ref="Q48:R48"/>
    <mergeCell ref="A8:R8"/>
    <mergeCell ref="A91:R91"/>
    <mergeCell ref="A92:R92"/>
    <mergeCell ref="A104:C104"/>
    <mergeCell ref="Q111:R111"/>
    <mergeCell ref="A93:R93"/>
    <mergeCell ref="A90:R90"/>
    <mergeCell ref="G94:O94"/>
    <mergeCell ref="G95:O95"/>
  </mergeCells>
  <phoneticPr fontId="0" type="noConversion"/>
  <pageMargins left="0.39370078740157483" right="0" top="0" bottom="0" header="0.11811023622047245" footer="0.31496062992125984"/>
  <pageSetup scale="80" orientation="landscape" horizontalDpi="0" verticalDpi="0" r:id="rId1"/>
  <ignoredErrors>
    <ignoredError sqref="G15:O21 G99:O102 G22:O24 G25:O31 G34:N36 O34:O36 G32:O33 G37:O37 N38:O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C2:L29"/>
  <sheetViews>
    <sheetView topLeftCell="C1" workbookViewId="0">
      <selection activeCell="G15" sqref="G15"/>
    </sheetView>
  </sheetViews>
  <sheetFormatPr baseColWidth="10" defaultRowHeight="12.75"/>
  <cols>
    <col min="1" max="2" width="0" hidden="1" customWidth="1"/>
    <col min="3" max="3" width="6.28515625" customWidth="1"/>
    <col min="4" max="4" width="30.5703125" customWidth="1"/>
    <col min="5" max="5" width="22.28515625" customWidth="1"/>
    <col min="6" max="6" width="6.140625" customWidth="1"/>
    <col min="7" max="7" width="11.140625" customWidth="1"/>
    <col min="8" max="8" width="6" customWidth="1"/>
    <col min="9" max="9" width="11.42578125" customWidth="1"/>
    <col min="10" max="10" width="35.7109375" customWidth="1"/>
  </cols>
  <sheetData>
    <row r="2" spans="3:12">
      <c r="C2" s="19"/>
      <c r="D2" s="19"/>
      <c r="E2" s="19"/>
      <c r="F2" s="19"/>
      <c r="G2" s="19"/>
      <c r="H2" s="19"/>
      <c r="I2" s="19"/>
      <c r="J2" s="19"/>
    </row>
    <row r="3" spans="3:12" ht="18">
      <c r="C3" s="362" t="s">
        <v>12</v>
      </c>
      <c r="D3" s="363"/>
      <c r="E3" s="363"/>
      <c r="F3" s="363"/>
      <c r="G3" s="363"/>
      <c r="H3" s="363"/>
      <c r="I3" s="363"/>
      <c r="J3" s="364"/>
    </row>
    <row r="4" spans="3:12" ht="15" hidden="1">
      <c r="C4" s="365" t="s">
        <v>8</v>
      </c>
      <c r="D4" s="366"/>
      <c r="E4" s="366"/>
      <c r="F4" s="366"/>
      <c r="G4" s="366"/>
      <c r="H4" s="366"/>
      <c r="I4" s="366"/>
      <c r="J4" s="367"/>
    </row>
    <row r="5" spans="3:12" ht="15">
      <c r="C5" s="365" t="s">
        <v>238</v>
      </c>
      <c r="D5" s="366"/>
      <c r="E5" s="366"/>
      <c r="F5" s="366"/>
      <c r="G5" s="366"/>
      <c r="H5" s="366"/>
      <c r="I5" s="366"/>
      <c r="J5" s="367"/>
    </row>
    <row r="6" spans="3:12" ht="15">
      <c r="C6" s="365" t="s">
        <v>317</v>
      </c>
      <c r="D6" s="366"/>
      <c r="E6" s="366"/>
      <c r="F6" s="366"/>
      <c r="G6" s="366"/>
      <c r="H6" s="366"/>
      <c r="I6" s="366"/>
      <c r="J6" s="367"/>
    </row>
    <row r="7" spans="3:12">
      <c r="C7" s="150"/>
      <c r="D7" s="150"/>
      <c r="E7" s="150"/>
      <c r="F7" s="151"/>
      <c r="G7" s="368" t="s">
        <v>0</v>
      </c>
      <c r="H7" s="369"/>
      <c r="I7" s="152"/>
      <c r="J7" s="153"/>
    </row>
    <row r="8" spans="3:12">
      <c r="C8" s="151" t="s">
        <v>3</v>
      </c>
      <c r="D8" s="151"/>
      <c r="E8" s="151"/>
      <c r="F8" s="151"/>
      <c r="G8" s="154" t="s">
        <v>1</v>
      </c>
      <c r="H8" s="154"/>
      <c r="I8" s="152" t="s">
        <v>227</v>
      </c>
      <c r="J8" s="151" t="s">
        <v>236</v>
      </c>
    </row>
    <row r="9" spans="3:12" ht="15">
      <c r="C9" s="155"/>
      <c r="D9" s="156" t="s">
        <v>241</v>
      </c>
      <c r="E9" s="156" t="s">
        <v>242</v>
      </c>
      <c r="F9" s="151" t="s">
        <v>240</v>
      </c>
      <c r="G9" s="151" t="s">
        <v>7</v>
      </c>
      <c r="H9" s="151"/>
      <c r="I9" s="151" t="s">
        <v>230</v>
      </c>
      <c r="J9" s="151"/>
    </row>
    <row r="10" spans="3:12" ht="15">
      <c r="C10" s="151"/>
      <c r="D10" s="164" t="s">
        <v>84</v>
      </c>
      <c r="E10" s="157"/>
      <c r="F10" s="158"/>
      <c r="G10" s="158"/>
      <c r="H10" s="158"/>
      <c r="I10" s="159"/>
      <c r="J10" s="158"/>
    </row>
    <row r="11" spans="3:12" ht="35.1" customHeight="1">
      <c r="C11" s="14"/>
      <c r="D11" s="15"/>
      <c r="E11" s="15"/>
      <c r="F11" s="14"/>
      <c r="G11" s="14"/>
      <c r="H11" s="14"/>
      <c r="I11" s="3"/>
      <c r="J11" s="14"/>
      <c r="L11" s="272"/>
    </row>
    <row r="12" spans="3:12" ht="35.1" customHeight="1">
      <c r="C12" s="142">
        <v>1</v>
      </c>
      <c r="D12" s="62" t="s">
        <v>75</v>
      </c>
      <c r="E12" s="62" t="s">
        <v>76</v>
      </c>
      <c r="F12" s="143">
        <v>15</v>
      </c>
      <c r="G12" s="144">
        <v>877.56</v>
      </c>
      <c r="H12" s="145"/>
      <c r="I12" s="165">
        <f>G12</f>
        <v>877.56</v>
      </c>
      <c r="J12" s="10"/>
    </row>
    <row r="13" spans="3:12" ht="35.1" customHeight="1">
      <c r="C13" s="142">
        <v>2</v>
      </c>
      <c r="D13" s="62" t="s">
        <v>77</v>
      </c>
      <c r="E13" s="62" t="s">
        <v>44</v>
      </c>
      <c r="F13" s="143">
        <v>15</v>
      </c>
      <c r="G13" s="144">
        <v>1841.64</v>
      </c>
      <c r="H13" s="145"/>
      <c r="I13" s="166">
        <f>G13</f>
        <v>1841.64</v>
      </c>
      <c r="J13" s="10"/>
    </row>
    <row r="14" spans="3:12" ht="35.1" customHeight="1">
      <c r="C14" s="142">
        <v>3</v>
      </c>
      <c r="D14" s="62" t="s">
        <v>78</v>
      </c>
      <c r="E14" s="62" t="s">
        <v>79</v>
      </c>
      <c r="F14" s="143">
        <v>15</v>
      </c>
      <c r="G14" s="144">
        <v>2248.4899999999998</v>
      </c>
      <c r="H14" s="145"/>
      <c r="I14" s="166">
        <f>G14</f>
        <v>2248.4899999999998</v>
      </c>
      <c r="J14" s="10"/>
    </row>
    <row r="15" spans="3:12" ht="35.1" customHeight="1">
      <c r="C15" s="142"/>
      <c r="D15" s="62"/>
      <c r="E15" s="62"/>
      <c r="F15" s="143"/>
      <c r="G15" s="144"/>
      <c r="H15" s="145"/>
      <c r="I15" s="166"/>
      <c r="J15" s="10"/>
    </row>
    <row r="16" spans="3:12" ht="35.1" customHeight="1">
      <c r="C16" s="146"/>
      <c r="D16" s="146"/>
      <c r="E16" s="146"/>
      <c r="F16" s="146"/>
      <c r="G16" s="146"/>
      <c r="H16" s="146"/>
      <c r="I16" s="146"/>
      <c r="J16" s="1"/>
    </row>
    <row r="17" spans="3:10" ht="35.1" customHeight="1">
      <c r="C17" s="146"/>
      <c r="D17" s="146"/>
      <c r="E17" s="147" t="s">
        <v>80</v>
      </c>
      <c r="F17" s="148"/>
      <c r="G17" s="149">
        <f>SUM(G12:G16)</f>
        <v>4967.6899999999996</v>
      </c>
      <c r="H17" s="149">
        <f>SUM(H12:H16)</f>
        <v>0</v>
      </c>
      <c r="I17" s="149">
        <f>SUM(I12:I16)</f>
        <v>4967.6899999999996</v>
      </c>
      <c r="J17" s="104"/>
    </row>
    <row r="18" spans="3:10" ht="35.1" customHeight="1">
      <c r="C18" s="1"/>
      <c r="D18" s="1"/>
      <c r="E18" s="1"/>
      <c r="F18" s="1"/>
      <c r="G18" s="1"/>
      <c r="H18" s="1"/>
      <c r="I18" s="1"/>
      <c r="J18" s="1"/>
    </row>
    <row r="19" spans="3:10">
      <c r="C19" s="1"/>
      <c r="D19" s="1"/>
      <c r="E19" s="1"/>
      <c r="F19" s="1"/>
      <c r="G19" s="1"/>
      <c r="H19" s="1"/>
      <c r="I19" s="1"/>
      <c r="J19" s="1"/>
    </row>
    <row r="20" spans="3:10">
      <c r="C20" s="1"/>
      <c r="D20" s="121"/>
      <c r="E20" s="1"/>
      <c r="F20" s="1"/>
      <c r="G20" s="1"/>
      <c r="H20" s="1"/>
      <c r="I20" s="121"/>
      <c r="J20" s="121"/>
    </row>
    <row r="21" spans="3:10">
      <c r="C21" s="1"/>
      <c r="D21" s="45" t="s">
        <v>159</v>
      </c>
      <c r="E21" s="1"/>
      <c r="F21" s="1"/>
      <c r="G21" s="1"/>
      <c r="H21" s="1"/>
      <c r="I21" s="313" t="s">
        <v>292</v>
      </c>
      <c r="J21" s="313"/>
    </row>
    <row r="22" spans="3:10">
      <c r="C22" s="1"/>
      <c r="D22" s="46" t="s">
        <v>11</v>
      </c>
      <c r="E22" s="11"/>
      <c r="F22" s="11"/>
      <c r="G22" s="11"/>
      <c r="H22" s="11"/>
      <c r="I22" s="314" t="s">
        <v>235</v>
      </c>
      <c r="J22" s="314"/>
    </row>
    <row r="23" spans="3:10">
      <c r="C23" s="1"/>
      <c r="D23" s="1"/>
      <c r="E23" s="1"/>
      <c r="F23" s="1"/>
      <c r="G23" s="1"/>
      <c r="H23" s="1"/>
      <c r="I23" s="1"/>
      <c r="J23" s="1"/>
    </row>
    <row r="24" spans="3:10">
      <c r="C24" s="1"/>
      <c r="D24" s="1"/>
      <c r="E24" s="1"/>
      <c r="F24" s="1"/>
      <c r="G24" s="1"/>
      <c r="H24" s="1"/>
      <c r="I24" s="1"/>
      <c r="J24" s="1"/>
    </row>
    <row r="25" spans="3:10">
      <c r="C25" s="1"/>
      <c r="D25" s="1"/>
      <c r="E25" s="1"/>
      <c r="F25" s="1"/>
      <c r="G25" s="1"/>
      <c r="H25" s="1"/>
      <c r="I25" s="1"/>
      <c r="J25" s="1"/>
    </row>
    <row r="26" spans="3:10">
      <c r="C26" s="1"/>
      <c r="D26" s="1"/>
      <c r="E26" s="1"/>
      <c r="F26" s="1"/>
      <c r="G26" s="1"/>
      <c r="H26" s="1"/>
      <c r="I26" s="1"/>
      <c r="J26" s="1"/>
    </row>
    <row r="27" spans="3:10">
      <c r="C27" s="1"/>
      <c r="D27" s="2"/>
      <c r="E27" s="1"/>
      <c r="F27" s="1"/>
      <c r="G27" s="2"/>
      <c r="H27" s="1"/>
      <c r="I27" s="1"/>
      <c r="J27" s="1"/>
    </row>
    <row r="28" spans="3:10">
      <c r="C28" s="1"/>
      <c r="D28" s="11"/>
      <c r="E28" s="11"/>
      <c r="F28" s="11"/>
      <c r="G28" s="11"/>
      <c r="H28" s="11"/>
      <c r="I28" s="11"/>
      <c r="J28" s="11"/>
    </row>
    <row r="29" spans="3:10">
      <c r="C29" s="1"/>
      <c r="D29" s="1"/>
      <c r="E29" s="1"/>
      <c r="F29" s="1"/>
      <c r="G29" s="1"/>
      <c r="H29" s="1"/>
      <c r="I29" s="1"/>
      <c r="J29" s="1"/>
    </row>
  </sheetData>
  <sheetProtection selectLockedCells="1" selectUnlockedCells="1"/>
  <mergeCells count="7">
    <mergeCell ref="I21:J21"/>
    <mergeCell ref="I22:J22"/>
    <mergeCell ref="C3:J3"/>
    <mergeCell ref="C4:J4"/>
    <mergeCell ref="G7:H7"/>
    <mergeCell ref="C5:J5"/>
    <mergeCell ref="C6:J6"/>
  </mergeCells>
  <phoneticPr fontId="0" type="noConversion"/>
  <pageMargins left="0.78740157480314965" right="0.31496062992125984" top="1.9291338582677167" bottom="0.74803149606299213" header="0.31496062992125984" footer="0.31496062992125984"/>
  <pageSetup scale="9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7:M23"/>
  <sheetViews>
    <sheetView workbookViewId="0">
      <selection activeCell="G17" sqref="G17"/>
    </sheetView>
  </sheetViews>
  <sheetFormatPr baseColWidth="10" defaultRowHeight="12.75"/>
  <cols>
    <col min="2" max="2" width="23.85546875" customWidth="1"/>
    <col min="3" max="3" width="17.140625" style="281" customWidth="1"/>
    <col min="4" max="4" width="17.5703125" style="281" customWidth="1"/>
    <col min="5" max="5" width="13.7109375" style="281" customWidth="1"/>
    <col min="6" max="6" width="6.140625" style="281" customWidth="1"/>
    <col min="12" max="12" width="26" customWidth="1"/>
    <col min="13" max="13" width="12.42578125" bestFit="1" customWidth="1"/>
  </cols>
  <sheetData>
    <row r="7" spans="2:13" s="284" customFormat="1" ht="21.6" customHeight="1">
      <c r="C7" s="285" t="s">
        <v>298</v>
      </c>
      <c r="D7" s="285" t="s">
        <v>296</v>
      </c>
      <c r="E7" s="285" t="s">
        <v>297</v>
      </c>
      <c r="F7" s="285"/>
      <c r="G7" s="285" t="s">
        <v>300</v>
      </c>
    </row>
    <row r="8" spans="2:13">
      <c r="B8" s="288" t="s">
        <v>299</v>
      </c>
      <c r="C8" s="289">
        <f>+REGIDORES!S24</f>
        <v>85048.624856000009</v>
      </c>
      <c r="D8" s="289">
        <v>77010.44</v>
      </c>
      <c r="E8" s="292">
        <f>8038.2</f>
        <v>8038.2</v>
      </c>
      <c r="F8" s="289"/>
      <c r="G8" s="290">
        <f t="shared" ref="G8:G14" si="0">+C8-D8-E8</f>
        <v>-1.5143999992687895E-2</v>
      </c>
      <c r="L8" t="s">
        <v>305</v>
      </c>
      <c r="M8" s="282">
        <f>+D8+D9+D10+D13</f>
        <v>321629.40999999997</v>
      </c>
    </row>
    <row r="9" spans="2:13">
      <c r="B9" s="288" t="s">
        <v>14</v>
      </c>
      <c r="C9" s="289">
        <f>+PERMANENTES!S113</f>
        <v>180093.15892000005</v>
      </c>
      <c r="D9" s="289">
        <v>160778.69</v>
      </c>
      <c r="E9" s="292">
        <f>+PERMANENTES!S15+PERMANENTES!S45+PERMANENTES!S57+PERMANENTES!S62+PERMANENTES!S63+PERMANENTES!S79</f>
        <v>19314.490352000001</v>
      </c>
      <c r="F9" s="289"/>
      <c r="G9" s="290">
        <f>+C9-D9-E9</f>
        <v>-2.1431999957712833E-2</v>
      </c>
      <c r="L9" t="s">
        <v>306</v>
      </c>
      <c r="M9" s="282">
        <f>+D12+D11</f>
        <v>95168.65</v>
      </c>
    </row>
    <row r="10" spans="2:13">
      <c r="B10" s="288" t="s">
        <v>228</v>
      </c>
      <c r="C10" s="289">
        <f>+SUPERNUMERARIO!Q87</f>
        <v>85126.355543999962</v>
      </c>
      <c r="D10" s="289">
        <v>78872.59</v>
      </c>
      <c r="E10" s="289">
        <f>+SUPERNUMERARIO!Q48+SUPERNUMERARIO!Q65+SUPERNUMERARIO!Q82</f>
        <v>6253.7671200000004</v>
      </c>
      <c r="F10" s="289"/>
      <c r="G10" s="290">
        <f>+C10-D10-E10</f>
        <v>-1.5760000351292547E-3</v>
      </c>
    </row>
    <row r="11" spans="2:13">
      <c r="B11" s="288" t="s">
        <v>71</v>
      </c>
      <c r="C11" s="289">
        <f>+'SEG.PUB.MPAL Y PROTECCION CIVIL'!Q40</f>
        <v>90710.745991999967</v>
      </c>
      <c r="D11" s="289">
        <v>83308.03</v>
      </c>
      <c r="E11" s="292">
        <f>+'SEG.PUB.MPAL Y PROTECCION CIVIL'!Q31+'SEG.PUB.MPAL Y PROTECCION CIVIL'!Q38</f>
        <v>7402.704256</v>
      </c>
      <c r="F11" s="289"/>
      <c r="G11" s="290">
        <f t="shared" si="0"/>
        <v>1.1735999968550459E-2</v>
      </c>
      <c r="M11" s="282">
        <f>+D16-M8-M9</f>
        <v>0</v>
      </c>
    </row>
    <row r="12" spans="2:13">
      <c r="B12" s="288" t="s">
        <v>226</v>
      </c>
      <c r="C12" s="289">
        <f>+'SEG.PUB.MPAL Y PROTECCION CIVIL'!Q104</f>
        <v>11860.613632000001</v>
      </c>
      <c r="D12" s="289">
        <v>11860.62</v>
      </c>
      <c r="E12" s="289">
        <v>0</v>
      </c>
      <c r="F12" s="289"/>
      <c r="G12" s="290">
        <f t="shared" si="0"/>
        <v>-6.3680000002932502E-3</v>
      </c>
    </row>
    <row r="13" spans="2:13">
      <c r="B13" s="288" t="s">
        <v>301</v>
      </c>
      <c r="C13" s="289">
        <v>4967.6899999999996</v>
      </c>
      <c r="D13" s="289">
        <v>4967.6899999999996</v>
      </c>
      <c r="E13" s="289">
        <v>0</v>
      </c>
      <c r="F13" s="289"/>
      <c r="G13" s="290">
        <f t="shared" si="0"/>
        <v>0</v>
      </c>
    </row>
    <row r="14" spans="2:13">
      <c r="B14" s="288" t="s">
        <v>302</v>
      </c>
      <c r="C14" s="289">
        <v>22938.53</v>
      </c>
      <c r="D14" s="289">
        <v>0</v>
      </c>
      <c r="E14" s="289">
        <v>22938.53</v>
      </c>
      <c r="F14" s="289"/>
      <c r="G14" s="290">
        <f t="shared" si="0"/>
        <v>0</v>
      </c>
    </row>
    <row r="15" spans="2:13" ht="7.9" customHeight="1"/>
    <row r="16" spans="2:13">
      <c r="C16" s="281">
        <f>SUM(C8:C15)</f>
        <v>480745.71894399996</v>
      </c>
      <c r="D16" s="281">
        <f>SUM(D8:D15)</f>
        <v>416798.06</v>
      </c>
      <c r="E16" s="281">
        <f>SUM(E8:E15)</f>
        <v>63947.691727999998</v>
      </c>
      <c r="G16" s="283">
        <f>SUM(G8:G15)</f>
        <v>-3.2784000017272774E-2</v>
      </c>
    </row>
    <row r="19" spans="2:3">
      <c r="B19" t="s">
        <v>303</v>
      </c>
      <c r="C19" s="281">
        <f>+E8+E9+E10+E13+E14</f>
        <v>56544.987472000001</v>
      </c>
    </row>
    <row r="20" spans="2:3">
      <c r="B20" t="s">
        <v>304</v>
      </c>
      <c r="C20" s="281">
        <f>+E11</f>
        <v>7402.704256</v>
      </c>
    </row>
    <row r="21" spans="2:3" ht="7.15" customHeight="1"/>
    <row r="23" spans="2:3">
      <c r="B23" t="s">
        <v>300</v>
      </c>
      <c r="C23" s="283">
        <f>+C16-D16-C19-C20</f>
        <v>-3.2784000034553173E-2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AMARRE</vt:lpstr>
      <vt:lpstr>JUBILADOS!Área_de_impresión</vt:lpstr>
      <vt:lpstr>REGIDORES!Área_de_impresión</vt:lpstr>
      <vt:lpstr>SUPERNUMERARIO!Área_de_impresión</vt:lpstr>
    </vt:vector>
  </TitlesOfParts>
  <Company>FAMILIAR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Ivan</cp:lastModifiedBy>
  <cp:lastPrinted>2018-08-30T19:43:08Z</cp:lastPrinted>
  <dcterms:created xsi:type="dcterms:W3CDTF">2000-05-05T04:08:27Z</dcterms:created>
  <dcterms:modified xsi:type="dcterms:W3CDTF">2018-09-17T15:06:56Z</dcterms:modified>
</cp:coreProperties>
</file>