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eta\Desktop\COMPARTIDOS ADMTVA\NOMINAS 2018\"/>
    </mc:Choice>
  </mc:AlternateContent>
  <bookViews>
    <workbookView xWindow="0" yWindow="0" windowWidth="17280" windowHeight="7250" activeTab="2"/>
  </bookViews>
  <sheets>
    <sheet name="NOMINA" sheetId="1" r:id="rId1"/>
    <sheet name="NOMINA (2)" sheetId="5" r:id="rId2"/>
    <sheet name="ASIMILADOS" sheetId="4" r:id="rId3"/>
    <sheet name="Hoja2" sheetId="2" r:id="rId4"/>
  </sheets>
  <definedNames>
    <definedName name="_xlnm.Print_Area" localSheetId="2">ASIMILADOS!$B$1:$R$33</definedName>
    <definedName name="_xlnm.Print_Area" localSheetId="0">NOMINA!$A$1:$U$53</definedName>
    <definedName name="_xlnm.Print_Area" localSheetId="1">'NOMINA (2)'!$A$1:$U$58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1" l="1"/>
  <c r="U45" i="5" l="1"/>
  <c r="T45" i="5"/>
  <c r="S45" i="5"/>
  <c r="R45" i="5"/>
  <c r="N45" i="5"/>
  <c r="M45" i="5"/>
  <c r="L45" i="5"/>
  <c r="K45" i="5"/>
  <c r="I45" i="5"/>
  <c r="H45" i="5"/>
  <c r="G45" i="5"/>
  <c r="F45" i="5"/>
  <c r="O32" i="5"/>
  <c r="H19" i="5"/>
  <c r="H19" i="1"/>
  <c r="T18" i="1" l="1"/>
  <c r="H37" i="5" l="1"/>
  <c r="I15" i="4"/>
  <c r="T31" i="1"/>
  <c r="M7" i="2" l="1"/>
  <c r="M8" i="2"/>
  <c r="M9" i="2"/>
  <c r="M10" i="2"/>
  <c r="M11" i="2"/>
  <c r="M12" i="2"/>
  <c r="M13" i="2"/>
  <c r="M14" i="2"/>
  <c r="M15" i="2"/>
  <c r="M16" i="2"/>
  <c r="M17" i="2"/>
  <c r="M18" i="2"/>
  <c r="M6" i="2"/>
  <c r="J15" i="2"/>
  <c r="F31" i="1" l="1"/>
  <c r="T17" i="1" l="1"/>
  <c r="T11" i="1"/>
  <c r="M17" i="1" l="1"/>
  <c r="H11" i="5" l="1"/>
  <c r="H11" i="1" l="1"/>
  <c r="I16" i="4" l="1"/>
  <c r="I14" i="4"/>
  <c r="F17" i="5" l="1"/>
  <c r="T17" i="5" s="1"/>
  <c r="G17" i="5"/>
  <c r="I17" i="5"/>
  <c r="P32" i="5"/>
  <c r="Q32" i="5" s="1"/>
  <c r="Q25" i="5"/>
  <c r="U38" i="5"/>
  <c r="T38" i="5"/>
  <c r="S38" i="5"/>
  <c r="R38" i="5"/>
  <c r="P38" i="5"/>
  <c r="O38" i="5"/>
  <c r="N38" i="5"/>
  <c r="M38" i="5"/>
  <c r="L38" i="5"/>
  <c r="K38" i="5"/>
  <c r="J38" i="5"/>
  <c r="H38" i="5"/>
  <c r="G38" i="5"/>
  <c r="F38" i="5"/>
  <c r="U35" i="5"/>
  <c r="T35" i="5"/>
  <c r="S35" i="5"/>
  <c r="R35" i="5"/>
  <c r="O35" i="5"/>
  <c r="N35" i="5"/>
  <c r="M35" i="5"/>
  <c r="L35" i="5"/>
  <c r="K35" i="5"/>
  <c r="J35" i="5"/>
  <c r="I35" i="5"/>
  <c r="H35" i="5"/>
  <c r="G35" i="5"/>
  <c r="F35" i="5"/>
  <c r="F23" i="5"/>
  <c r="F24" i="5"/>
  <c r="F25" i="5"/>
  <c r="F28" i="5"/>
  <c r="F29" i="5"/>
  <c r="R28" i="5"/>
  <c r="S28" i="5"/>
  <c r="T28" i="5"/>
  <c r="U28" i="5"/>
  <c r="U29" i="5"/>
  <c r="T29" i="5"/>
  <c r="S29" i="5"/>
  <c r="R29" i="5"/>
  <c r="G28" i="5"/>
  <c r="I28" i="5"/>
  <c r="M28" i="5"/>
  <c r="P28" i="5"/>
  <c r="Q28" i="5"/>
  <c r="Q29" i="5"/>
  <c r="P29" i="5"/>
  <c r="O29" i="5"/>
  <c r="N29" i="5"/>
  <c r="M29" i="5"/>
  <c r="L29" i="5"/>
  <c r="K29" i="5"/>
  <c r="J29" i="5"/>
  <c r="I29" i="5"/>
  <c r="H29" i="5"/>
  <c r="G29" i="5"/>
  <c r="H12" i="5"/>
  <c r="H15" i="5"/>
  <c r="H16" i="5"/>
  <c r="H20" i="5"/>
  <c r="H62" i="5" s="1"/>
  <c r="H32" i="5"/>
  <c r="H33" i="5"/>
  <c r="H23" i="5"/>
  <c r="H25" i="5"/>
  <c r="H41" i="5"/>
  <c r="H42" i="5"/>
  <c r="E11" i="5"/>
  <c r="F11" i="5"/>
  <c r="G11" i="5"/>
  <c r="I11" i="5"/>
  <c r="M11" i="5"/>
  <c r="P11" i="5"/>
  <c r="P12" i="5" s="1"/>
  <c r="F15" i="5"/>
  <c r="G15" i="5"/>
  <c r="I15" i="5"/>
  <c r="M15" i="5"/>
  <c r="P15" i="5"/>
  <c r="Q15" i="5"/>
  <c r="F16" i="5"/>
  <c r="G16" i="5"/>
  <c r="I16" i="5"/>
  <c r="M16" i="5"/>
  <c r="P16" i="5"/>
  <c r="Q16" i="5"/>
  <c r="F18" i="5"/>
  <c r="I18" i="5" s="1"/>
  <c r="G18" i="5"/>
  <c r="M18" i="5"/>
  <c r="P18" i="5" s="1"/>
  <c r="N18" i="5"/>
  <c r="F19" i="5"/>
  <c r="T19" i="5" s="1"/>
  <c r="G19" i="5"/>
  <c r="N19" i="5"/>
  <c r="N20" i="5" s="1"/>
  <c r="F32" i="5"/>
  <c r="G32" i="5"/>
  <c r="I32" i="5"/>
  <c r="M32" i="5"/>
  <c r="F33" i="5"/>
  <c r="G33" i="5"/>
  <c r="I33" i="5"/>
  <c r="M33" i="5"/>
  <c r="P33" i="5"/>
  <c r="Q33" i="5"/>
  <c r="F34" i="5"/>
  <c r="G34" i="5"/>
  <c r="I34" i="5"/>
  <c r="M34" i="5"/>
  <c r="P34" i="5"/>
  <c r="F37" i="5"/>
  <c r="G37" i="5"/>
  <c r="I37" i="5"/>
  <c r="I38" i="5" s="1"/>
  <c r="M37" i="5"/>
  <c r="P37" i="5"/>
  <c r="G23" i="5"/>
  <c r="I23" i="5"/>
  <c r="M23" i="5"/>
  <c r="P23" i="5"/>
  <c r="Q23" i="5"/>
  <c r="G24" i="5"/>
  <c r="I24" i="5"/>
  <c r="M24" i="5"/>
  <c r="P24" i="5"/>
  <c r="Q24" i="5"/>
  <c r="F41" i="5"/>
  <c r="G41" i="5"/>
  <c r="I41" i="5"/>
  <c r="M41" i="5"/>
  <c r="P41" i="5"/>
  <c r="Q41" i="5"/>
  <c r="Q42" i="5"/>
  <c r="R11" i="5"/>
  <c r="S11" i="5"/>
  <c r="T11" i="5"/>
  <c r="U11" i="5"/>
  <c r="U12" i="5"/>
  <c r="R15" i="5"/>
  <c r="S15" i="5"/>
  <c r="T15" i="5"/>
  <c r="U15" i="5"/>
  <c r="R16" i="5"/>
  <c r="S16" i="5"/>
  <c r="T16" i="5"/>
  <c r="U16" i="5"/>
  <c r="R17" i="5"/>
  <c r="U17" i="5" s="1"/>
  <c r="S17" i="5"/>
  <c r="S20" i="5" s="1"/>
  <c r="S18" i="5"/>
  <c r="T18" i="5"/>
  <c r="S19" i="5"/>
  <c r="R32" i="5"/>
  <c r="S32" i="5"/>
  <c r="T32" i="5"/>
  <c r="U32" i="5"/>
  <c r="R33" i="5"/>
  <c r="S33" i="5"/>
  <c r="T33" i="5"/>
  <c r="U33" i="5"/>
  <c r="R34" i="5"/>
  <c r="S34" i="5"/>
  <c r="T34" i="5"/>
  <c r="U34" i="5"/>
  <c r="R37" i="5"/>
  <c r="S37" i="5"/>
  <c r="T37" i="5"/>
  <c r="U37" i="5"/>
  <c r="R23" i="5"/>
  <c r="S23" i="5"/>
  <c r="T23" i="5"/>
  <c r="U23" i="5"/>
  <c r="R24" i="5"/>
  <c r="S24" i="5"/>
  <c r="T24" i="5"/>
  <c r="U24" i="5"/>
  <c r="U25" i="5"/>
  <c r="R41" i="5"/>
  <c r="S41" i="5"/>
  <c r="T41" i="5"/>
  <c r="U41" i="5"/>
  <c r="U42" i="5"/>
  <c r="T12" i="5"/>
  <c r="T25" i="5"/>
  <c r="T42" i="5"/>
  <c r="S12" i="5"/>
  <c r="S25" i="5"/>
  <c r="S42" i="5"/>
  <c r="R12" i="5"/>
  <c r="R25" i="5"/>
  <c r="R42" i="5"/>
  <c r="P25" i="5"/>
  <c r="P42" i="5"/>
  <c r="O12" i="5"/>
  <c r="O20" i="5"/>
  <c r="O25" i="5"/>
  <c r="O42" i="5"/>
  <c r="N12" i="5"/>
  <c r="N25" i="5"/>
  <c r="N42" i="5"/>
  <c r="M12" i="5"/>
  <c r="M25" i="5"/>
  <c r="M42" i="5"/>
  <c r="L12" i="5"/>
  <c r="L20" i="5"/>
  <c r="L25" i="5"/>
  <c r="L42" i="5"/>
  <c r="K12" i="5"/>
  <c r="K20" i="5"/>
  <c r="K25" i="5"/>
  <c r="K42" i="5"/>
  <c r="J12" i="5"/>
  <c r="J20" i="5"/>
  <c r="J45" i="5" s="1"/>
  <c r="J25" i="5"/>
  <c r="J42" i="5"/>
  <c r="I25" i="5"/>
  <c r="I42" i="5"/>
  <c r="G12" i="5"/>
  <c r="G20" i="5"/>
  <c r="G25" i="5"/>
  <c r="G42" i="5"/>
  <c r="F12" i="5"/>
  <c r="F42" i="5"/>
  <c r="M18" i="1"/>
  <c r="P18" i="1" s="1"/>
  <c r="Q18" i="1" s="1"/>
  <c r="F17" i="1"/>
  <c r="P17" i="1" s="1"/>
  <c r="Q17" i="1" s="1"/>
  <c r="M14" i="4"/>
  <c r="M13" i="4"/>
  <c r="M16" i="4"/>
  <c r="N16" i="4" s="1"/>
  <c r="M11" i="4"/>
  <c r="M15" i="4"/>
  <c r="L17" i="4"/>
  <c r="L20" i="4" s="1"/>
  <c r="K17" i="4"/>
  <c r="K20" i="4" s="1"/>
  <c r="J17" i="4"/>
  <c r="J20" i="4" s="1"/>
  <c r="I13" i="4"/>
  <c r="I11" i="4"/>
  <c r="N11" i="4" s="1"/>
  <c r="H17" i="4"/>
  <c r="H20" i="4" s="1"/>
  <c r="F25" i="1"/>
  <c r="G25" i="1"/>
  <c r="J26" i="1"/>
  <c r="O26" i="1"/>
  <c r="N26" i="1"/>
  <c r="L26" i="1"/>
  <c r="K26" i="1"/>
  <c r="T25" i="1"/>
  <c r="I25" i="1"/>
  <c r="R25" i="1"/>
  <c r="M25" i="1"/>
  <c r="S25" i="1"/>
  <c r="P25" i="1"/>
  <c r="Q25" i="1"/>
  <c r="U25" i="1"/>
  <c r="H15" i="1"/>
  <c r="H36" i="1"/>
  <c r="H31" i="1"/>
  <c r="H30" i="1"/>
  <c r="H29" i="1"/>
  <c r="H23" i="1"/>
  <c r="H26" i="1"/>
  <c r="H16" i="1"/>
  <c r="F18" i="1"/>
  <c r="S18" i="1" s="1"/>
  <c r="U18" i="1" s="1"/>
  <c r="N18" i="1"/>
  <c r="J20" i="1"/>
  <c r="F15" i="1"/>
  <c r="F16" i="1"/>
  <c r="F19" i="1"/>
  <c r="S19" i="1" s="1"/>
  <c r="S11" i="1"/>
  <c r="R16" i="1"/>
  <c r="R15" i="1"/>
  <c r="S15" i="1"/>
  <c r="S16" i="1"/>
  <c r="T15" i="1"/>
  <c r="T16" i="1"/>
  <c r="R11" i="4"/>
  <c r="R17" i="4" s="1"/>
  <c r="R20" i="4" s="1"/>
  <c r="M16" i="1"/>
  <c r="M15" i="1"/>
  <c r="G19" i="1"/>
  <c r="G18" i="1"/>
  <c r="I18" i="1"/>
  <c r="G17" i="1"/>
  <c r="P17" i="4"/>
  <c r="P20" i="4" s="1"/>
  <c r="Q17" i="4"/>
  <c r="Q20" i="4" s="1"/>
  <c r="O17" i="4"/>
  <c r="O20" i="4" s="1"/>
  <c r="K12" i="1"/>
  <c r="K20" i="1"/>
  <c r="K37" i="1"/>
  <c r="K33" i="1"/>
  <c r="K40" i="1"/>
  <c r="S31" i="1"/>
  <c r="S33" i="1" s="1"/>
  <c r="M31" i="1"/>
  <c r="M33" i="1" s="1"/>
  <c r="J17" i="2"/>
  <c r="G17" i="2"/>
  <c r="J16" i="2"/>
  <c r="G16" i="2"/>
  <c r="G15" i="2"/>
  <c r="J14" i="2"/>
  <c r="G14" i="2"/>
  <c r="J13" i="2"/>
  <c r="G13" i="2"/>
  <c r="J12" i="2"/>
  <c r="G12" i="2"/>
  <c r="J11" i="2"/>
  <c r="G11" i="2"/>
  <c r="J10" i="2"/>
  <c r="G10" i="2"/>
  <c r="J9" i="2"/>
  <c r="G9" i="2"/>
  <c r="J8" i="2"/>
  <c r="G8" i="2"/>
  <c r="J7" i="2"/>
  <c r="G7" i="2"/>
  <c r="J6" i="2"/>
  <c r="G6" i="2"/>
  <c r="O37" i="1"/>
  <c r="N37" i="1"/>
  <c r="L37" i="1"/>
  <c r="J37" i="1"/>
  <c r="H37" i="1"/>
  <c r="G36" i="1"/>
  <c r="G37" i="1"/>
  <c r="F36" i="1"/>
  <c r="O33" i="1"/>
  <c r="N33" i="1"/>
  <c r="L33" i="1"/>
  <c r="J33" i="1"/>
  <c r="G32" i="1"/>
  <c r="F32" i="1"/>
  <c r="G31" i="1"/>
  <c r="I31" i="1" s="1"/>
  <c r="G30" i="1"/>
  <c r="F30" i="1"/>
  <c r="G29" i="1"/>
  <c r="F29" i="1"/>
  <c r="G24" i="1"/>
  <c r="F24" i="1"/>
  <c r="G23" i="1"/>
  <c r="F23" i="1"/>
  <c r="O20" i="1"/>
  <c r="L20" i="1"/>
  <c r="G16" i="1"/>
  <c r="I16" i="1"/>
  <c r="G15" i="1"/>
  <c r="I15" i="1"/>
  <c r="S12" i="1"/>
  <c r="O12" i="1"/>
  <c r="N12" i="1"/>
  <c r="L12" i="1"/>
  <c r="J12" i="1"/>
  <c r="H12" i="1"/>
  <c r="G11" i="1"/>
  <c r="G12" i="1"/>
  <c r="E11" i="1"/>
  <c r="F11" i="1"/>
  <c r="G26" i="1"/>
  <c r="I23" i="1"/>
  <c r="F26" i="1"/>
  <c r="R23" i="1"/>
  <c r="R26" i="1"/>
  <c r="S23" i="1"/>
  <c r="T23" i="1"/>
  <c r="M23" i="1"/>
  <c r="R32" i="1"/>
  <c r="U32" i="1"/>
  <c r="S32" i="1"/>
  <c r="T32" i="1"/>
  <c r="M32" i="1"/>
  <c r="I32" i="1"/>
  <c r="R24" i="1"/>
  <c r="S24" i="1"/>
  <c r="T24" i="1"/>
  <c r="M24" i="1"/>
  <c r="P24" i="1"/>
  <c r="P26" i="1" s="1"/>
  <c r="I24" i="1"/>
  <c r="R30" i="1"/>
  <c r="S30" i="1"/>
  <c r="T30" i="1"/>
  <c r="M30" i="1"/>
  <c r="P30" i="1"/>
  <c r="Q30" i="1" s="1"/>
  <c r="I30" i="1"/>
  <c r="F37" i="1"/>
  <c r="R36" i="1"/>
  <c r="R37" i="1"/>
  <c r="S36" i="1"/>
  <c r="T36" i="1"/>
  <c r="M36" i="1"/>
  <c r="P36" i="1"/>
  <c r="Q36" i="1" s="1"/>
  <c r="Q37" i="1" s="1"/>
  <c r="I36" i="1"/>
  <c r="R11" i="1"/>
  <c r="R12" i="1"/>
  <c r="M11" i="1"/>
  <c r="P11" i="1"/>
  <c r="I11" i="1"/>
  <c r="R29" i="1"/>
  <c r="S29" i="1"/>
  <c r="T29" i="1"/>
  <c r="M29" i="1"/>
  <c r="I29" i="1"/>
  <c r="R18" i="1"/>
  <c r="R17" i="1"/>
  <c r="U17" i="1" s="1"/>
  <c r="S17" i="1"/>
  <c r="R19" i="1"/>
  <c r="T19" i="1"/>
  <c r="N19" i="1"/>
  <c r="I19" i="1"/>
  <c r="I17" i="1"/>
  <c r="L40" i="1"/>
  <c r="H33" i="1"/>
  <c r="S37" i="1"/>
  <c r="H20" i="1"/>
  <c r="P15" i="1"/>
  <c r="F12" i="1"/>
  <c r="T12" i="1"/>
  <c r="F33" i="1"/>
  <c r="G20" i="1"/>
  <c r="P32" i="1"/>
  <c r="M37" i="1"/>
  <c r="U16" i="1"/>
  <c r="P31" i="1"/>
  <c r="T37" i="1"/>
  <c r="P16" i="1"/>
  <c r="M26" i="1"/>
  <c r="U30" i="1"/>
  <c r="T26" i="1"/>
  <c r="S26" i="1"/>
  <c r="I26" i="1"/>
  <c r="Q32" i="1"/>
  <c r="N20" i="1"/>
  <c r="N40" i="1" s="1"/>
  <c r="H40" i="1"/>
  <c r="P37" i="1"/>
  <c r="U29" i="1"/>
  <c r="P23" i="1"/>
  <c r="U36" i="1"/>
  <c r="U37" i="1"/>
  <c r="I37" i="1"/>
  <c r="U24" i="1"/>
  <c r="U23" i="1"/>
  <c r="U11" i="1"/>
  <c r="U12" i="1" s="1"/>
  <c r="P29" i="1"/>
  <c r="Q29" i="1" s="1"/>
  <c r="U15" i="1"/>
  <c r="M12" i="1"/>
  <c r="U26" i="1"/>
  <c r="Q23" i="1"/>
  <c r="P12" i="1"/>
  <c r="Q16" i="1"/>
  <c r="Q15" i="1"/>
  <c r="I12" i="1"/>
  <c r="Q11" i="1"/>
  <c r="Q12" i="1" s="1"/>
  <c r="P33" i="1" l="1"/>
  <c r="Q24" i="1"/>
  <c r="Q26" i="1" s="1"/>
  <c r="O45" i="5"/>
  <c r="P35" i="5"/>
  <c r="Q34" i="5"/>
  <c r="Q35" i="5" s="1"/>
  <c r="Q37" i="5"/>
  <c r="Q38" i="5" s="1"/>
  <c r="I17" i="4"/>
  <c r="I20" i="4" s="1"/>
  <c r="N13" i="4"/>
  <c r="T33" i="1"/>
  <c r="J40" i="1"/>
  <c r="Q31" i="1"/>
  <c r="I33" i="1"/>
  <c r="G33" i="1"/>
  <c r="G40" i="1" s="1"/>
  <c r="R31" i="1"/>
  <c r="Q33" i="1"/>
  <c r="Q11" i="5"/>
  <c r="Q12" i="5" s="1"/>
  <c r="I12" i="5"/>
  <c r="Q18" i="5"/>
  <c r="T20" i="5"/>
  <c r="R19" i="5"/>
  <c r="U19" i="5" s="1"/>
  <c r="R18" i="5"/>
  <c r="M19" i="5"/>
  <c r="P19" i="5" s="1"/>
  <c r="M17" i="5"/>
  <c r="I19" i="5"/>
  <c r="F20" i="5"/>
  <c r="O40" i="1"/>
  <c r="T20" i="1"/>
  <c r="R20" i="1"/>
  <c r="F20" i="1"/>
  <c r="F40" i="1" s="1"/>
  <c r="I20" i="1"/>
  <c r="U19" i="1"/>
  <c r="U20" i="1" s="1"/>
  <c r="S20" i="1"/>
  <c r="S40" i="1" s="1"/>
  <c r="M19" i="1"/>
  <c r="M17" i="4"/>
  <c r="M20" i="4" s="1"/>
  <c r="N15" i="4"/>
  <c r="N14" i="4"/>
  <c r="N17" i="4" l="1"/>
  <c r="N20" i="4" s="1"/>
  <c r="T40" i="1"/>
  <c r="I40" i="1"/>
  <c r="U31" i="1"/>
  <c r="U33" i="1" s="1"/>
  <c r="U40" i="1" s="1"/>
  <c r="R33" i="1"/>
  <c r="R40" i="1" s="1"/>
  <c r="U18" i="5"/>
  <c r="U20" i="5" s="1"/>
  <c r="R20" i="5"/>
  <c r="Q19" i="5"/>
  <c r="P17" i="5"/>
  <c r="M20" i="5"/>
  <c r="T46" i="5"/>
  <c r="I20" i="5"/>
  <c r="P19" i="1"/>
  <c r="M20" i="1"/>
  <c r="M40" i="1" s="1"/>
  <c r="P20" i="5" l="1"/>
  <c r="P45" i="5" s="1"/>
  <c r="Q17" i="5"/>
  <c r="Q20" i="5" s="1"/>
  <c r="P20" i="1"/>
  <c r="P40" i="1" s="1"/>
  <c r="Q19" i="1"/>
  <c r="Q20" i="1" s="1"/>
  <c r="Q40" i="1" s="1"/>
  <c r="Q42" i="1" s="1"/>
  <c r="Q44" i="1" s="1"/>
  <c r="Q45" i="5" l="1"/>
  <c r="Q47" i="5" s="1"/>
  <c r="Q49" i="5" s="1"/>
</calcChain>
</file>

<file path=xl/sharedStrings.xml><?xml version="1.0" encoding="utf-8"?>
<sst xmlns="http://schemas.openxmlformats.org/spreadsheetml/2006/main" count="234" uniqueCount="115">
  <si>
    <t>INSTITUTO DE FOMENTO AL COMERCIO EXTERIOR DEL ESTADO DE JALISCO</t>
  </si>
  <si>
    <t>OBLIGACIONES PATRONALES</t>
  </si>
  <si>
    <t>SUELDO</t>
  </si>
  <si>
    <t>OTRAS PERCEPCIONES</t>
  </si>
  <si>
    <t>TOTAL DE</t>
  </si>
  <si>
    <t>DEDUCCIONES</t>
  </si>
  <si>
    <t>TOTAL</t>
  </si>
  <si>
    <t>N O M B R E S</t>
  </si>
  <si>
    <t>NIVEL</t>
  </si>
  <si>
    <t>DIAS</t>
  </si>
  <si>
    <t>DIARIO</t>
  </si>
  <si>
    <t>QUINCENAL</t>
  </si>
  <si>
    <t>TRANSPORTE</t>
  </si>
  <si>
    <t>QUINQUENIO</t>
  </si>
  <si>
    <t>PERCEPCIONES</t>
  </si>
  <si>
    <t>SUBSIDIO AL EMPLEO</t>
  </si>
  <si>
    <t xml:space="preserve">TOTAL </t>
  </si>
  <si>
    <t>APORT. PATRONALES</t>
  </si>
  <si>
    <t>GERENCIA GENERAL</t>
  </si>
  <si>
    <t>1-03</t>
  </si>
  <si>
    <t>Rubén Reséndiz Pérez</t>
  </si>
  <si>
    <t>SUMAS</t>
  </si>
  <si>
    <t>UNIDAD ADMINISTRATIVA</t>
  </si>
  <si>
    <t>4-08</t>
  </si>
  <si>
    <t>Julieta Quiñones Padilla</t>
  </si>
  <si>
    <t>4-10</t>
  </si>
  <si>
    <t>Deirdre Rosa López Barajas</t>
  </si>
  <si>
    <t>4-12</t>
  </si>
  <si>
    <t>Gerardo Peña Moreno</t>
  </si>
  <si>
    <t>4-05</t>
  </si>
  <si>
    <t>Ma. Amparo Padilla González</t>
  </si>
  <si>
    <t>DESARROLLO SECTORIAL</t>
  </si>
  <si>
    <t>3-02</t>
  </si>
  <si>
    <t>Sandra Karina Sanchez Aguirre</t>
  </si>
  <si>
    <t>PROMOCION EXTERNA</t>
  </si>
  <si>
    <t>3-03</t>
  </si>
  <si>
    <t>Juan Pablo Cedeño Magaña</t>
  </si>
  <si>
    <t>2-04</t>
  </si>
  <si>
    <t>Lilia Milanes Barajas</t>
  </si>
  <si>
    <t>2-06</t>
  </si>
  <si>
    <t>Citlally Alejandra Briceño Jaimes</t>
  </si>
  <si>
    <t>MERCADO ASIATICO</t>
  </si>
  <si>
    <t>2-02</t>
  </si>
  <si>
    <t>Antonio Garcia Molina</t>
  </si>
  <si>
    <t>SUMAS TOTALES:</t>
  </si>
  <si>
    <t>EL PAGO DE LA PRESENTE NOMINA SE HACE MEDIANTE CHEQUE (EN LOS CASOS SEÑALADOS) O TRASPASO</t>
  </si>
  <si>
    <t>TRASPASOS A CUENTA INDIVIDUAL</t>
  </si>
  <si>
    <t>INDIVIDUAL A LA CUENTA DE BBVA BANCOMER ASIGNADA A CADA TRABAJADOR PARA TAL FIN CON CARGO</t>
  </si>
  <si>
    <t>CON CHEQUE NOMINATIVO</t>
  </si>
  <si>
    <t>A LA CUENTA DE CHEQUES DEL INSTITUTO</t>
  </si>
  <si>
    <t>DEIRDRE ROSA LOPEZ BARAJAS</t>
  </si>
  <si>
    <t>L.C.P. JULIETA QUIÑONES PADILLA</t>
  </si>
  <si>
    <t>LIC. RUBEN RESENDIZ PEREZ</t>
  </si>
  <si>
    <t>CONTADORA GENERAL</t>
  </si>
  <si>
    <t>JEFA DE LA UNIDAD ADMINISTRATIVA</t>
  </si>
  <si>
    <t>GERENTE GENERAL</t>
  </si>
  <si>
    <t>ELABORO</t>
  </si>
  <si>
    <t>REVISO</t>
  </si>
  <si>
    <t>AUTORIZO</t>
  </si>
  <si>
    <t>CODIGO</t>
  </si>
  <si>
    <t>APORTACION PATRONAL</t>
  </si>
  <si>
    <t>2%
SEDAR</t>
  </si>
  <si>
    <t>3%
VIVIENDA</t>
  </si>
  <si>
    <t>NETO A
PAGAR EN
EFECTIVO</t>
  </si>
  <si>
    <t>I.S.R.</t>
  </si>
  <si>
    <t>TRABAJADOS</t>
  </si>
  <si>
    <t>PAGADOS</t>
  </si>
  <si>
    <t>10.5% PENSIONES</t>
  </si>
  <si>
    <t>13.5% PENSIONES</t>
  </si>
  <si>
    <t>HONORARIO</t>
  </si>
  <si>
    <t>PERSONAL DE APOYO EXTERNO</t>
  </si>
  <si>
    <t>Elba Leticia Muñoz Gonzalez</t>
  </si>
  <si>
    <t>C O N T R A T O</t>
  </si>
  <si>
    <t>N O M B R E</t>
  </si>
  <si>
    <t>11.5% PENSIONES</t>
  </si>
  <si>
    <t>EL PAGO DE LOS HONORARIOS HACE MEDIANTE CHEQUE Y/O TRANSFERENCIA ELECTRÓNICA</t>
  </si>
  <si>
    <t>CUOTA SINDICAL</t>
  </si>
  <si>
    <t>PRESTAMOS DE PENSIONES</t>
  </si>
  <si>
    <t>9003</t>
  </si>
  <si>
    <t>Coordinación contabilidad gubernamental</t>
  </si>
  <si>
    <t>17.5% PENSIONES</t>
  </si>
  <si>
    <t>Encargado del área jurídica</t>
  </si>
  <si>
    <t>Ricardo Medina Lomas</t>
  </si>
  <si>
    <t>3-07</t>
  </si>
  <si>
    <t>Omar Adrian Granados Vieyra</t>
  </si>
  <si>
    <t>Karina Gutiérrez Rubio</t>
  </si>
  <si>
    <t>9016</t>
  </si>
  <si>
    <t>4-13</t>
  </si>
  <si>
    <t>Giovanni Bosco Alcalá Gutiérrez</t>
  </si>
  <si>
    <t>3-08</t>
  </si>
  <si>
    <t>9019</t>
  </si>
  <si>
    <t>Auxiliar de contabilidad gubernamental</t>
  </si>
  <si>
    <t>Miriam Alejandra Bautista Gordo</t>
  </si>
  <si>
    <t>I.S.R. A COMPENSAR</t>
  </si>
  <si>
    <t>A7</t>
  </si>
  <si>
    <t>C8</t>
  </si>
  <si>
    <t>C2</t>
  </si>
  <si>
    <t>C3</t>
  </si>
  <si>
    <t>C5</t>
  </si>
  <si>
    <t>C4</t>
  </si>
  <si>
    <t>9020</t>
  </si>
  <si>
    <t>María Alejandra Zúñiga Bustamante</t>
  </si>
  <si>
    <t>2-07</t>
  </si>
  <si>
    <t>María del Carmen Hernandez Vidales</t>
  </si>
  <si>
    <t>Ernesto Emilio Gómez Gutiérrez</t>
  </si>
  <si>
    <t>9021</t>
  </si>
  <si>
    <t>EL PAGO DE LA PRESENTE NOMINA SE HACE MEDIANTE CHEQUE (EN LOS CASOS SEÑALADOS)</t>
  </si>
  <si>
    <t>O TRASPASO INDIVIDUAL A LA CUENTA BANCARIA DE CADA TRABAJADOR PARA TAL FIN CON CARGO</t>
  </si>
  <si>
    <t>Encargado de coordinación de comunicación social</t>
  </si>
  <si>
    <t>Encargado de coordinación de campaña digital para manejo de redes sociales, mailing, imagen, difusión, seguimiento, mantener y aumentar el número de usuarios de la plataforma digital de Jaltrade MyTrade</t>
  </si>
  <si>
    <t>Periodo No. 19</t>
  </si>
  <si>
    <t>NOMINA DEL 1 AL 15 DE OCTUBRE DE 2018</t>
  </si>
  <si>
    <t>Periodo No. 21</t>
  </si>
  <si>
    <t>NOMINA DEL 1 AL 15 DE NOVIEMBRE DE 2018</t>
  </si>
  <si>
    <t>HONORARIOS ASIMILADOS A SALARIOS DEL 1 AL 15 DE NOVIEMBRE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</si>
</sst>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_ ;\-#,##0.00\ "/>
  </numFmts>
  <fonts count="19">
    <font>
      <sz val="11"/>
      <color theme="1"/>
      <name val="Calibri"/>
      <family val="2"/>
      <scheme val="minor"/>
    </font>
    <font>
      <sz val="10"/>
      <name val="Goulong"/>
      <charset val="200"/>
    </font>
    <font>
      <sz val="22"/>
      <name val="Goulong"/>
      <charset val="200"/>
    </font>
    <font>
      <sz val="16"/>
      <name val="Goulong"/>
      <charset val="200"/>
    </font>
    <font>
      <b/>
      <sz val="12"/>
      <color indexed="9"/>
      <name val="Goulong"/>
      <charset val="200"/>
    </font>
    <font>
      <b/>
      <sz val="10"/>
      <color indexed="9"/>
      <name val="Goulong"/>
      <charset val="200"/>
    </font>
    <font>
      <b/>
      <sz val="12"/>
      <name val="Goulong"/>
      <charset val="200"/>
    </font>
    <font>
      <sz val="12"/>
      <name val="Goulong"/>
      <charset val="200"/>
    </font>
    <font>
      <sz val="12"/>
      <color indexed="9"/>
      <name val="Goulong"/>
      <charset val="200"/>
    </font>
    <font>
      <b/>
      <sz val="13"/>
      <name val="Goulong"/>
      <charset val="200"/>
    </font>
    <font>
      <b/>
      <sz val="13"/>
      <color indexed="9"/>
      <name val="Goulong"/>
      <charset val="200"/>
    </font>
    <font>
      <b/>
      <sz val="8"/>
      <color indexed="9"/>
      <name val="Goulong"/>
      <charset val="200"/>
    </font>
    <font>
      <b/>
      <sz val="12"/>
      <color theme="6" tint="-0.249977111117893"/>
      <name val="Goulong"/>
      <charset val="200"/>
    </font>
    <font>
      <b/>
      <sz val="10"/>
      <name val="Arial"/>
      <family val="2"/>
    </font>
    <font>
      <sz val="10"/>
      <name val="Arial"/>
      <family val="2"/>
    </font>
    <font>
      <sz val="12"/>
      <color theme="0"/>
      <name val="Goulong"/>
      <charset val="200"/>
    </font>
    <font>
      <sz val="11"/>
      <name val="Goulong"/>
      <charset val="200"/>
    </font>
    <font>
      <b/>
      <sz val="11"/>
      <color indexed="9"/>
      <name val="Goulong"/>
      <charset val="200"/>
    </font>
    <font>
      <sz val="12"/>
      <color rgb="FFFF0000"/>
      <name val="Goulong"/>
      <charset val="200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rgb="FFC00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theme="6" tint="-0.24994659260841701"/>
      </left>
      <right style="hair">
        <color theme="6" tint="-0.24994659260841701"/>
      </right>
      <top style="hair">
        <color theme="6" tint="-0.24994659260841701"/>
      </top>
      <bottom style="hair">
        <color theme="6" tint="-0.24994659260841701"/>
      </bottom>
      <diagonal/>
    </border>
    <border>
      <left style="double">
        <color theme="6" tint="-0.24994659260841701"/>
      </left>
      <right style="hair">
        <color theme="6" tint="-0.24994659260841701"/>
      </right>
      <top style="double">
        <color theme="6" tint="-0.24994659260841701"/>
      </top>
      <bottom style="hair">
        <color theme="6" tint="-0.24994659260841701"/>
      </bottom>
      <diagonal/>
    </border>
    <border>
      <left style="hair">
        <color theme="6" tint="-0.24994659260841701"/>
      </left>
      <right style="hair">
        <color theme="6" tint="-0.24994659260841701"/>
      </right>
      <top style="double">
        <color theme="6" tint="-0.24994659260841701"/>
      </top>
      <bottom style="hair">
        <color theme="6" tint="-0.24994659260841701"/>
      </bottom>
      <diagonal/>
    </border>
    <border>
      <left style="hair">
        <color theme="6" tint="-0.24994659260841701"/>
      </left>
      <right style="double">
        <color theme="6" tint="-0.24994659260841701"/>
      </right>
      <top style="double">
        <color theme="6" tint="-0.24994659260841701"/>
      </top>
      <bottom style="hair">
        <color theme="6" tint="-0.24994659260841701"/>
      </bottom>
      <diagonal/>
    </border>
    <border>
      <left style="double">
        <color theme="6" tint="-0.24994659260841701"/>
      </left>
      <right style="hair">
        <color theme="6" tint="-0.24994659260841701"/>
      </right>
      <top style="hair">
        <color theme="6" tint="-0.24994659260841701"/>
      </top>
      <bottom style="hair">
        <color theme="6" tint="-0.24994659260841701"/>
      </bottom>
      <diagonal/>
    </border>
    <border>
      <left style="hair">
        <color theme="6" tint="-0.24994659260841701"/>
      </left>
      <right style="double">
        <color theme="6" tint="-0.24994659260841701"/>
      </right>
      <top style="hair">
        <color theme="6" tint="-0.24994659260841701"/>
      </top>
      <bottom style="hair">
        <color theme="6" tint="-0.24994659260841701"/>
      </bottom>
      <diagonal/>
    </border>
    <border>
      <left style="double">
        <color theme="6" tint="-0.24994659260841701"/>
      </left>
      <right style="hair">
        <color theme="6" tint="-0.24994659260841701"/>
      </right>
      <top style="hair">
        <color theme="6" tint="-0.24994659260841701"/>
      </top>
      <bottom style="double">
        <color theme="6" tint="-0.24994659260841701"/>
      </bottom>
      <diagonal/>
    </border>
    <border>
      <left style="hair">
        <color theme="6" tint="-0.24994659260841701"/>
      </left>
      <right style="hair">
        <color theme="6" tint="-0.24994659260841701"/>
      </right>
      <top style="hair">
        <color theme="6" tint="-0.24994659260841701"/>
      </top>
      <bottom style="double">
        <color theme="6" tint="-0.24994659260841701"/>
      </bottom>
      <diagonal/>
    </border>
    <border>
      <left style="hair">
        <color theme="6" tint="-0.24994659260841701"/>
      </left>
      <right style="double">
        <color theme="6" tint="-0.24994659260841701"/>
      </right>
      <top style="hair">
        <color theme="6" tint="-0.24994659260841701"/>
      </top>
      <bottom style="double">
        <color theme="6" tint="-0.24994659260841701"/>
      </bottom>
      <diagonal/>
    </border>
    <border>
      <left style="hair">
        <color theme="6" tint="-0.24994659260841701"/>
      </left>
      <right style="hair">
        <color theme="6" tint="-0.24994659260841701"/>
      </right>
      <top style="hair">
        <color theme="6" tint="-0.24994659260841701"/>
      </top>
      <bottom/>
      <diagonal/>
    </border>
    <border>
      <left style="hair">
        <color theme="6" tint="-0.24994659260841701"/>
      </left>
      <right style="double">
        <color theme="6" tint="-0.24994659260841701"/>
      </right>
      <top style="hair">
        <color theme="6" tint="-0.24994659260841701"/>
      </top>
      <bottom/>
      <diagonal/>
    </border>
    <border>
      <left/>
      <right style="hair">
        <color theme="6" tint="-0.24994659260841701"/>
      </right>
      <top style="double">
        <color theme="6" tint="-0.24994659260841701"/>
      </top>
      <bottom style="hair">
        <color theme="6" tint="-0.24994659260841701"/>
      </bottom>
      <diagonal/>
    </border>
    <border>
      <left/>
      <right style="hair">
        <color theme="6" tint="-0.24994659260841701"/>
      </right>
      <top style="hair">
        <color theme="6" tint="-0.24994659260841701"/>
      </top>
      <bottom style="hair">
        <color theme="6" tint="-0.24994659260841701"/>
      </bottom>
      <diagonal/>
    </border>
    <border>
      <left/>
      <right style="hair">
        <color theme="6" tint="-0.24994659260841701"/>
      </right>
      <top style="hair">
        <color theme="6" tint="-0.24994659260841701"/>
      </top>
      <bottom/>
      <diagonal/>
    </border>
    <border>
      <left/>
      <right style="hair">
        <color theme="6" tint="-0.24994659260841701"/>
      </right>
      <top style="hair">
        <color theme="6" tint="-0.24994659260841701"/>
      </top>
      <bottom style="double">
        <color theme="6" tint="-0.24994659260841701"/>
      </bottom>
      <diagonal/>
    </border>
    <border>
      <left style="double">
        <color theme="6" tint="-0.24994659260841701"/>
      </left>
      <right/>
      <top style="double">
        <color theme="6" tint="-0.24994659260841701"/>
      </top>
      <bottom style="hair">
        <color theme="6" tint="-0.24994659260841701"/>
      </bottom>
      <diagonal/>
    </border>
    <border>
      <left style="double">
        <color theme="6" tint="-0.24994659260841701"/>
      </left>
      <right/>
      <top style="hair">
        <color theme="6" tint="-0.24994659260841701"/>
      </top>
      <bottom style="hair">
        <color theme="6" tint="-0.24994659260841701"/>
      </bottom>
      <diagonal/>
    </border>
    <border>
      <left style="double">
        <color theme="6" tint="-0.24994659260841701"/>
      </left>
      <right/>
      <top style="hair">
        <color theme="6" tint="-0.24994659260841701"/>
      </top>
      <bottom/>
      <diagonal/>
    </border>
    <border>
      <left style="double">
        <color theme="6" tint="-0.24994659260841701"/>
      </left>
      <right style="hair">
        <color theme="6" tint="-0.24994659260841701"/>
      </right>
      <top style="double">
        <color theme="6" tint="-0.24994659260841701"/>
      </top>
      <bottom style="double">
        <color theme="6" tint="-0.24994659260841701"/>
      </bottom>
      <diagonal/>
    </border>
    <border>
      <left/>
      <right style="hair">
        <color theme="6" tint="-0.24994659260841701"/>
      </right>
      <top style="double">
        <color theme="6" tint="-0.24994659260841701"/>
      </top>
      <bottom style="double">
        <color theme="6" tint="-0.24994659260841701"/>
      </bottom>
      <diagonal/>
    </border>
    <border>
      <left style="hair">
        <color theme="6" tint="-0.24994659260841701"/>
      </left>
      <right style="hair">
        <color theme="6" tint="-0.24994659260841701"/>
      </right>
      <top style="double">
        <color theme="6" tint="-0.24994659260841701"/>
      </top>
      <bottom style="double">
        <color theme="6" tint="-0.24994659260841701"/>
      </bottom>
      <diagonal/>
    </border>
    <border>
      <left style="hair">
        <color theme="6" tint="-0.24994659260841701"/>
      </left>
      <right style="double">
        <color theme="6" tint="-0.24994659260841701"/>
      </right>
      <top style="double">
        <color theme="6" tint="-0.24994659260841701"/>
      </top>
      <bottom style="double">
        <color theme="6" tint="-0.24994659260841701"/>
      </bottom>
      <diagonal/>
    </border>
    <border>
      <left style="hair">
        <color theme="6" tint="-0.24994659260841701"/>
      </left>
      <right style="hair">
        <color theme="6" tint="-0.24994659260841701"/>
      </right>
      <top/>
      <bottom style="hair">
        <color theme="6" tint="-0.24994659260841701"/>
      </bottom>
      <diagonal/>
    </border>
    <border>
      <left style="hair">
        <color theme="6" tint="-0.24994659260841701"/>
      </left>
      <right style="double">
        <color theme="6" tint="-0.24994659260841701"/>
      </right>
      <top/>
      <bottom style="hair">
        <color theme="6" tint="-0.24994659260841701"/>
      </bottom>
      <diagonal/>
    </border>
    <border>
      <left/>
      <right style="hair">
        <color theme="6" tint="-0.24994659260841701"/>
      </right>
      <top/>
      <bottom style="hair">
        <color theme="6" tint="-0.24994659260841701"/>
      </bottom>
      <diagonal/>
    </border>
    <border>
      <left style="double">
        <color theme="6" tint="-0.24994659260841701"/>
      </left>
      <right style="hair">
        <color theme="6" tint="-0.24994659260841701"/>
      </right>
      <top style="hair">
        <color theme="6" tint="-0.24994659260841701"/>
      </top>
      <bottom/>
      <diagonal/>
    </border>
    <border>
      <left style="double">
        <color theme="6" tint="-0.24994659260841701"/>
      </left>
      <right/>
      <top/>
      <bottom/>
      <diagonal/>
    </border>
    <border>
      <left style="hair">
        <color theme="6" tint="-0.24994659260841701"/>
      </left>
      <right style="hair">
        <color theme="6" tint="-0.24994659260841701"/>
      </right>
      <top/>
      <bottom/>
      <diagonal/>
    </border>
    <border>
      <left style="hair">
        <color theme="6" tint="-0.24994659260841701"/>
      </left>
      <right style="double">
        <color theme="6" tint="-0.24994659260841701"/>
      </right>
      <top/>
      <bottom/>
      <diagonal/>
    </border>
    <border>
      <left style="double">
        <color theme="6" tint="-0.24994659260841701"/>
      </left>
      <right style="hair">
        <color theme="6" tint="-0.24994659260841701"/>
      </right>
      <top/>
      <bottom style="hair">
        <color theme="6" tint="-0.24994659260841701"/>
      </bottom>
      <diagonal/>
    </border>
  </borders>
  <cellStyleXfs count="1">
    <xf numFmtId="0" fontId="0" fillId="0" borderId="0"/>
  </cellStyleXfs>
  <cellXfs count="225">
    <xf numFmtId="0" fontId="0" fillId="0" borderId="0" xfId="0"/>
    <xf numFmtId="49" fontId="1" fillId="0" borderId="0" xfId="0" applyNumberFormat="1" applyFont="1"/>
    <xf numFmtId="0" fontId="1" fillId="0" borderId="0" xfId="0" applyFont="1"/>
    <xf numFmtId="4" fontId="1" fillId="0" borderId="0" xfId="0" applyNumberFormat="1" applyFont="1"/>
    <xf numFmtId="0" fontId="6" fillId="0" borderId="0" xfId="0" applyFont="1"/>
    <xf numFmtId="49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right"/>
    </xf>
    <xf numFmtId="4" fontId="6" fillId="0" borderId="0" xfId="0" applyNumberFormat="1" applyFont="1"/>
    <xf numFmtId="4" fontId="7" fillId="0" borderId="0" xfId="0" applyNumberFormat="1" applyFont="1"/>
    <xf numFmtId="164" fontId="7" fillId="0" borderId="0" xfId="0" applyNumberFormat="1" applyFont="1"/>
    <xf numFmtId="49" fontId="8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justify"/>
    </xf>
    <xf numFmtId="0" fontId="4" fillId="0" borderId="0" xfId="0" applyFont="1" applyFill="1" applyBorder="1"/>
    <xf numFmtId="4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justify"/>
    </xf>
    <xf numFmtId="4" fontId="8" fillId="0" borderId="0" xfId="0" applyNumberFormat="1" applyFont="1" applyFill="1" applyBorder="1"/>
    <xf numFmtId="0" fontId="7" fillId="0" borderId="0" xfId="0" applyFont="1" applyFill="1" applyBorder="1"/>
    <xf numFmtId="164" fontId="7" fillId="0" borderId="0" xfId="0" applyNumberFormat="1" applyFont="1" applyBorder="1"/>
    <xf numFmtId="0" fontId="7" fillId="0" borderId="0" xfId="0" applyFont="1" applyBorder="1"/>
    <xf numFmtId="49" fontId="7" fillId="0" borderId="0" xfId="0" applyNumberFormat="1" applyFont="1" applyBorder="1"/>
    <xf numFmtId="0" fontId="7" fillId="0" borderId="0" xfId="0" applyFont="1" applyBorder="1" applyAlignment="1">
      <alignment horizontal="justify"/>
    </xf>
    <xf numFmtId="0" fontId="7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/>
    <xf numFmtId="4" fontId="7" fillId="0" borderId="0" xfId="0" applyNumberFormat="1" applyFont="1" applyBorder="1"/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right"/>
    </xf>
    <xf numFmtId="49" fontId="6" fillId="0" borderId="0" xfId="0" applyNumberFormat="1" applyFont="1"/>
    <xf numFmtId="0" fontId="6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right"/>
    </xf>
    <xf numFmtId="164" fontId="6" fillId="0" borderId="2" xfId="0" applyNumberFormat="1" applyFont="1" applyBorder="1"/>
    <xf numFmtId="4" fontId="6" fillId="0" borderId="2" xfId="0" applyNumberFormat="1" applyFont="1" applyBorder="1"/>
    <xf numFmtId="164" fontId="6" fillId="0" borderId="0" xfId="0" applyNumberFormat="1" applyFont="1"/>
    <xf numFmtId="4" fontId="7" fillId="0" borderId="7" xfId="0" applyNumberFormat="1" applyFont="1" applyBorder="1"/>
    <xf numFmtId="3" fontId="7" fillId="0" borderId="0" xfId="0" applyNumberFormat="1" applyFont="1"/>
    <xf numFmtId="49" fontId="7" fillId="0" borderId="7" xfId="0" applyNumberFormat="1" applyFont="1" applyBorder="1"/>
    <xf numFmtId="0" fontId="7" fillId="0" borderId="7" xfId="0" applyFont="1" applyBorder="1"/>
    <xf numFmtId="164" fontId="7" fillId="0" borderId="7" xfId="0" applyNumberFormat="1" applyFont="1" applyBorder="1"/>
    <xf numFmtId="0" fontId="7" fillId="0" borderId="0" xfId="0" applyFont="1" applyBorder="1" applyAlignment="1"/>
    <xf numFmtId="164" fontId="7" fillId="0" borderId="0" xfId="0" applyNumberFormat="1" applyFont="1" applyBorder="1" applyAlignment="1"/>
    <xf numFmtId="0" fontId="7" fillId="0" borderId="0" xfId="0" applyFont="1" applyAlignment="1"/>
    <xf numFmtId="0" fontId="4" fillId="2" borderId="2" xfId="0" applyFont="1" applyFill="1" applyBorder="1" applyAlignment="1">
      <alignment horizontal="center" vertical="distributed"/>
    </xf>
    <xf numFmtId="0" fontId="4" fillId="2" borderId="1" xfId="0" applyFont="1" applyFill="1" applyBorder="1" applyAlignment="1">
      <alignment horizontal="center" vertical="distributed"/>
    </xf>
    <xf numFmtId="0" fontId="4" fillId="2" borderId="2" xfId="0" applyFont="1" applyFill="1" applyBorder="1" applyAlignment="1">
      <alignment vertical="distributed"/>
    </xf>
    <xf numFmtId="0" fontId="4" fillId="2" borderId="2" xfId="0" applyFont="1" applyFill="1" applyBorder="1" applyAlignment="1">
      <alignment horizontal="justify" vertical="distributed"/>
    </xf>
    <xf numFmtId="0" fontId="5" fillId="2" borderId="6" xfId="0" applyFont="1" applyFill="1" applyBorder="1" applyAlignment="1">
      <alignment vertical="distributed" wrapText="1"/>
    </xf>
    <xf numFmtId="0" fontId="4" fillId="2" borderId="6" xfId="0" applyFont="1" applyFill="1" applyBorder="1" applyAlignment="1">
      <alignment vertical="distributed" wrapText="1"/>
    </xf>
    <xf numFmtId="0" fontId="5" fillId="2" borderId="6" xfId="0" applyFont="1" applyFill="1" applyBorder="1" applyAlignment="1">
      <alignment horizontal="justify" vertical="distributed"/>
    </xf>
    <xf numFmtId="0" fontId="5" fillId="2" borderId="2" xfId="0" applyFont="1" applyFill="1" applyBorder="1" applyAlignment="1">
      <alignment horizontal="justify" vertical="distributed"/>
    </xf>
    <xf numFmtId="0" fontId="7" fillId="0" borderId="9" xfId="0" applyFont="1" applyBorder="1" applyAlignment="1">
      <alignment horizontal="justify"/>
    </xf>
    <xf numFmtId="0" fontId="7" fillId="0" borderId="9" xfId="0" applyFont="1" applyBorder="1" applyAlignment="1">
      <alignment horizontal="center"/>
    </xf>
    <xf numFmtId="164" fontId="7" fillId="0" borderId="9" xfId="0" applyNumberFormat="1" applyFont="1" applyBorder="1"/>
    <xf numFmtId="164" fontId="6" fillId="0" borderId="9" xfId="0" applyNumberFormat="1" applyFont="1" applyBorder="1" applyAlignment="1">
      <alignment horizontal="right"/>
    </xf>
    <xf numFmtId="4" fontId="7" fillId="0" borderId="9" xfId="0" applyNumberFormat="1" applyFont="1" applyBorder="1"/>
    <xf numFmtId="0" fontId="12" fillId="0" borderId="0" xfId="0" applyFont="1" applyBorder="1" applyAlignment="1">
      <alignment horizontal="justify"/>
    </xf>
    <xf numFmtId="0" fontId="12" fillId="0" borderId="0" xfId="0" applyFont="1" applyFill="1" applyBorder="1"/>
    <xf numFmtId="0" fontId="1" fillId="3" borderId="0" xfId="0" applyFont="1" applyFill="1"/>
    <xf numFmtId="4" fontId="1" fillId="3" borderId="0" xfId="0" applyNumberFormat="1" applyFont="1" applyFill="1"/>
    <xf numFmtId="49" fontId="7" fillId="0" borderId="10" xfId="0" applyNumberFormat="1" applyFont="1" applyBorder="1"/>
    <xf numFmtId="0" fontId="7" fillId="0" borderId="11" xfId="0" applyFont="1" applyBorder="1" applyAlignment="1">
      <alignment horizontal="justify"/>
    </xf>
    <xf numFmtId="0" fontId="7" fillId="0" borderId="11" xfId="0" applyFont="1" applyBorder="1" applyAlignment="1">
      <alignment horizontal="center"/>
    </xf>
    <xf numFmtId="164" fontId="7" fillId="0" borderId="11" xfId="0" applyNumberFormat="1" applyFont="1" applyBorder="1"/>
    <xf numFmtId="164" fontId="6" fillId="0" borderId="11" xfId="0" applyNumberFormat="1" applyFont="1" applyBorder="1" applyAlignment="1">
      <alignment horizontal="right"/>
    </xf>
    <xf numFmtId="4" fontId="7" fillId="0" borderId="11" xfId="0" applyNumberFormat="1" applyFont="1" applyBorder="1"/>
    <xf numFmtId="164" fontId="7" fillId="0" borderId="12" xfId="0" applyNumberFormat="1" applyFont="1" applyBorder="1"/>
    <xf numFmtId="49" fontId="7" fillId="0" borderId="13" xfId="0" applyNumberFormat="1" applyFont="1" applyBorder="1"/>
    <xf numFmtId="164" fontId="7" fillId="0" borderId="14" xfId="0" applyNumberFormat="1" applyFont="1" applyBorder="1"/>
    <xf numFmtId="49" fontId="8" fillId="3" borderId="15" xfId="0" applyNumberFormat="1" applyFont="1" applyFill="1" applyBorder="1"/>
    <xf numFmtId="0" fontId="8" fillId="3" borderId="16" xfId="0" applyFont="1" applyFill="1" applyBorder="1" applyAlignment="1">
      <alignment horizontal="justify"/>
    </xf>
    <xf numFmtId="0" fontId="8" fillId="3" borderId="16" xfId="0" applyFont="1" applyFill="1" applyBorder="1" applyAlignment="1">
      <alignment horizontal="center"/>
    </xf>
    <xf numFmtId="164" fontId="8" fillId="3" borderId="16" xfId="0" applyNumberFormat="1" applyFont="1" applyFill="1" applyBorder="1"/>
    <xf numFmtId="4" fontId="10" fillId="3" borderId="16" xfId="0" applyNumberFormat="1" applyFont="1" applyFill="1" applyBorder="1"/>
    <xf numFmtId="164" fontId="8" fillId="3" borderId="17" xfId="0" applyNumberFormat="1" applyFont="1" applyFill="1" applyBorder="1"/>
    <xf numFmtId="0" fontId="8" fillId="3" borderId="16" xfId="0" applyFont="1" applyFill="1" applyBorder="1"/>
    <xf numFmtId="164" fontId="4" fillId="3" borderId="16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1" fontId="0" fillId="0" borderId="0" xfId="0" applyNumberFormat="1"/>
    <xf numFmtId="0" fontId="13" fillId="0" borderId="0" xfId="0" applyFont="1"/>
    <xf numFmtId="1" fontId="13" fillId="0" borderId="0" xfId="0" applyNumberFormat="1" applyFont="1"/>
    <xf numFmtId="0" fontId="14" fillId="0" borderId="0" xfId="0" applyFont="1" applyFill="1"/>
    <xf numFmtId="1" fontId="14" fillId="0" borderId="0" xfId="0" applyNumberFormat="1" applyFont="1" applyFill="1"/>
    <xf numFmtId="0" fontId="14" fillId="0" borderId="0" xfId="0" applyFont="1"/>
    <xf numFmtId="1" fontId="14" fillId="0" borderId="0" xfId="0" applyNumberFormat="1" applyFont="1"/>
    <xf numFmtId="164" fontId="15" fillId="3" borderId="16" xfId="0" applyNumberFormat="1" applyFont="1" applyFill="1" applyBorder="1"/>
    <xf numFmtId="0" fontId="4" fillId="2" borderId="2" xfId="0" applyFont="1" applyFill="1" applyBorder="1" applyAlignment="1">
      <alignment horizontal="center" vertical="distributed"/>
    </xf>
    <xf numFmtId="0" fontId="4" fillId="2" borderId="1" xfId="0" applyFont="1" applyFill="1" applyBorder="1" applyAlignment="1">
      <alignment horizontal="center" vertical="distributed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7" fillId="0" borderId="8" xfId="0" applyFont="1" applyBorder="1" applyAlignment="1"/>
    <xf numFmtId="164" fontId="7" fillId="0" borderId="0" xfId="0" applyNumberFormat="1" applyFont="1" applyAlignment="1"/>
    <xf numFmtId="164" fontId="7" fillId="0" borderId="8" xfId="0" applyNumberFormat="1" applyFont="1" applyBorder="1" applyAlignment="1"/>
    <xf numFmtId="164" fontId="7" fillId="0" borderId="7" xfId="0" applyNumberFormat="1" applyFont="1" applyBorder="1" applyAlignment="1"/>
    <xf numFmtId="0" fontId="7" fillId="0" borderId="0" xfId="0" applyFont="1" applyAlignment="1">
      <alignment horizontal="center" vertical="center"/>
    </xf>
    <xf numFmtId="164" fontId="7" fillId="0" borderId="9" xfId="0" applyNumberFormat="1" applyFont="1" applyFill="1" applyBorder="1"/>
    <xf numFmtId="0" fontId="7" fillId="0" borderId="18" xfId="0" applyFont="1" applyBorder="1" applyAlignment="1">
      <alignment horizontal="center"/>
    </xf>
    <xf numFmtId="164" fontId="7" fillId="0" borderId="18" xfId="0" applyNumberFormat="1" applyFont="1" applyBorder="1"/>
    <xf numFmtId="4" fontId="7" fillId="0" borderId="18" xfId="0" applyNumberFormat="1" applyFont="1" applyBorder="1"/>
    <xf numFmtId="164" fontId="7" fillId="0" borderId="19" xfId="0" applyNumberFormat="1" applyFont="1" applyBorder="1"/>
    <xf numFmtId="4" fontId="7" fillId="0" borderId="20" xfId="0" applyNumberFormat="1" applyFont="1" applyBorder="1"/>
    <xf numFmtId="4" fontId="7" fillId="0" borderId="21" xfId="0" applyNumberFormat="1" applyFont="1" applyBorder="1"/>
    <xf numFmtId="4" fontId="7" fillId="0" borderId="22" xfId="0" applyNumberFormat="1" applyFont="1" applyBorder="1"/>
    <xf numFmtId="164" fontId="8" fillId="3" borderId="23" xfId="0" applyNumberFormat="1" applyFont="1" applyFill="1" applyBorder="1"/>
    <xf numFmtId="4" fontId="9" fillId="0" borderId="12" xfId="0" applyNumberFormat="1" applyFont="1" applyBorder="1"/>
    <xf numFmtId="49" fontId="7" fillId="0" borderId="24" xfId="0" applyNumberFormat="1" applyFont="1" applyBorder="1"/>
    <xf numFmtId="49" fontId="7" fillId="0" borderId="11" xfId="0" applyNumberFormat="1" applyFont="1" applyBorder="1"/>
    <xf numFmtId="165" fontId="8" fillId="3" borderId="16" xfId="0" applyNumberFormat="1" applyFont="1" applyFill="1" applyBorder="1"/>
    <xf numFmtId="0" fontId="4" fillId="2" borderId="2" xfId="0" applyFont="1" applyFill="1" applyBorder="1" applyAlignment="1">
      <alignment horizontal="center" vertical="distributed"/>
    </xf>
    <xf numFmtId="0" fontId="17" fillId="2" borderId="2" xfId="0" applyFont="1" applyFill="1" applyBorder="1" applyAlignment="1">
      <alignment horizontal="center" vertical="distributed"/>
    </xf>
    <xf numFmtId="164" fontId="6" fillId="0" borderId="18" xfId="0" applyNumberFormat="1" applyFont="1" applyBorder="1" applyAlignment="1">
      <alignment horizontal="right"/>
    </xf>
    <xf numFmtId="49" fontId="8" fillId="3" borderId="27" xfId="0" applyNumberFormat="1" applyFont="1" applyFill="1" applyBorder="1"/>
    <xf numFmtId="49" fontId="8" fillId="3" borderId="28" xfId="0" applyNumberFormat="1" applyFont="1" applyFill="1" applyBorder="1"/>
    <xf numFmtId="0" fontId="8" fillId="3" borderId="29" xfId="0" applyFont="1" applyFill="1" applyBorder="1" applyAlignment="1">
      <alignment horizontal="justify"/>
    </xf>
    <xf numFmtId="0" fontId="8" fillId="3" borderId="29" xfId="0" applyFont="1" applyFill="1" applyBorder="1" applyAlignment="1">
      <alignment horizontal="center"/>
    </xf>
    <xf numFmtId="164" fontId="8" fillId="3" borderId="29" xfId="0" applyNumberFormat="1" applyFont="1" applyFill="1" applyBorder="1"/>
    <xf numFmtId="164" fontId="4" fillId="3" borderId="29" xfId="0" applyNumberFormat="1" applyFont="1" applyFill="1" applyBorder="1" applyAlignment="1">
      <alignment horizontal="right"/>
    </xf>
    <xf numFmtId="4" fontId="10" fillId="3" borderId="30" xfId="0" applyNumberFormat="1" applyFont="1" applyFill="1" applyBorder="1"/>
    <xf numFmtId="164" fontId="7" fillId="0" borderId="31" xfId="0" applyNumberFormat="1" applyFont="1" applyBorder="1"/>
    <xf numFmtId="4" fontId="7" fillId="0" borderId="33" xfId="0" applyNumberFormat="1" applyFont="1" applyBorder="1"/>
    <xf numFmtId="4" fontId="7" fillId="0" borderId="31" xfId="0" applyNumberFormat="1" applyFont="1" applyBorder="1"/>
    <xf numFmtId="164" fontId="7" fillId="0" borderId="32" xfId="0" applyNumberFormat="1" applyFont="1" applyBorder="1"/>
    <xf numFmtId="49" fontId="7" fillId="0" borderId="13" xfId="0" applyNumberFormat="1" applyFont="1" applyFill="1" applyBorder="1"/>
    <xf numFmtId="0" fontId="7" fillId="0" borderId="9" xfId="0" applyFont="1" applyFill="1" applyBorder="1" applyAlignment="1">
      <alignment horizontal="justify"/>
    </xf>
    <xf numFmtId="0" fontId="7" fillId="0" borderId="9" xfId="0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right"/>
    </xf>
    <xf numFmtId="4" fontId="9" fillId="0" borderId="9" xfId="0" applyNumberFormat="1" applyFont="1" applyFill="1" applyBorder="1"/>
    <xf numFmtId="4" fontId="7" fillId="0" borderId="9" xfId="0" applyNumberFormat="1" applyFont="1" applyFill="1" applyBorder="1"/>
    <xf numFmtId="164" fontId="7" fillId="0" borderId="14" xfId="0" applyNumberFormat="1" applyFont="1" applyFill="1" applyBorder="1"/>
    <xf numFmtId="164" fontId="7" fillId="0" borderId="0" xfId="0" applyNumberFormat="1" applyFont="1" applyFill="1"/>
    <xf numFmtId="0" fontId="7" fillId="0" borderId="0" xfId="0" applyFont="1" applyFill="1"/>
    <xf numFmtId="1" fontId="7" fillId="0" borderId="9" xfId="0" applyNumberFormat="1" applyFont="1" applyFill="1" applyBorder="1" applyAlignment="1">
      <alignment horizontal="center"/>
    </xf>
    <xf numFmtId="164" fontId="7" fillId="0" borderId="18" xfId="0" applyNumberFormat="1" applyFont="1" applyFill="1" applyBorder="1"/>
    <xf numFmtId="0" fontId="13" fillId="0" borderId="0" xfId="0" applyFont="1" applyFill="1"/>
    <xf numFmtId="1" fontId="13" fillId="0" borderId="0" xfId="0" applyNumberFormat="1" applyFont="1" applyFill="1"/>
    <xf numFmtId="164" fontId="0" fillId="0" borderId="0" xfId="0" applyNumberFormat="1"/>
    <xf numFmtId="49" fontId="7" fillId="0" borderId="34" xfId="0" applyNumberFormat="1" applyFont="1" applyBorder="1"/>
    <xf numFmtId="0" fontId="7" fillId="0" borderId="18" xfId="0" applyFont="1" applyBorder="1" applyAlignment="1">
      <alignment horizontal="justify"/>
    </xf>
    <xf numFmtId="164" fontId="7" fillId="0" borderId="11" xfId="0" applyNumberFormat="1" applyFont="1" applyFill="1" applyBorder="1"/>
    <xf numFmtId="164" fontId="6" fillId="0" borderId="2" xfId="0" applyNumberFormat="1" applyFont="1" applyFill="1" applyBorder="1"/>
    <xf numFmtId="4" fontId="6" fillId="0" borderId="2" xfId="0" applyNumberFormat="1" applyFont="1" applyFill="1" applyBorder="1"/>
    <xf numFmtId="4" fontId="9" fillId="0" borderId="18" xfId="0" applyNumberFormat="1" applyFont="1" applyFill="1" applyBorder="1"/>
    <xf numFmtId="4" fontId="9" fillId="0" borderId="11" xfId="0" applyNumberFormat="1" applyFont="1" applyFill="1" applyBorder="1"/>
    <xf numFmtId="49" fontId="7" fillId="0" borderId="10" xfId="0" applyNumberFormat="1" applyFont="1" applyFill="1" applyBorder="1"/>
    <xf numFmtId="0" fontId="7" fillId="0" borderId="11" xfId="0" applyFont="1" applyFill="1" applyBorder="1" applyAlignment="1">
      <alignment horizontal="justify"/>
    </xf>
    <xf numFmtId="0" fontId="7" fillId="0" borderId="11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right"/>
    </xf>
    <xf numFmtId="4" fontId="7" fillId="0" borderId="11" xfId="0" applyNumberFormat="1" applyFont="1" applyFill="1" applyBorder="1"/>
    <xf numFmtId="164" fontId="7" fillId="0" borderId="12" xfId="0" applyNumberFormat="1" applyFont="1" applyFill="1" applyBorder="1"/>
    <xf numFmtId="49" fontId="7" fillId="0" borderId="35" xfId="0" applyNumberFormat="1" applyFont="1" applyBorder="1"/>
    <xf numFmtId="49" fontId="7" fillId="0" borderId="36" xfId="0" applyNumberFormat="1" applyFont="1" applyBorder="1"/>
    <xf numFmtId="0" fontId="7" fillId="0" borderId="36" xfId="0" applyFont="1" applyBorder="1" applyAlignment="1">
      <alignment horizontal="justify"/>
    </xf>
    <xf numFmtId="0" fontId="7" fillId="0" borderId="36" xfId="0" applyFont="1" applyBorder="1" applyAlignment="1">
      <alignment horizontal="center"/>
    </xf>
    <xf numFmtId="164" fontId="7" fillId="0" borderId="36" xfId="0" applyNumberFormat="1" applyFont="1" applyBorder="1"/>
    <xf numFmtId="164" fontId="6" fillId="0" borderId="36" xfId="0" applyNumberFormat="1" applyFont="1" applyBorder="1" applyAlignment="1">
      <alignment horizontal="right"/>
    </xf>
    <xf numFmtId="4" fontId="9" fillId="0" borderId="37" xfId="0" applyNumberFormat="1" applyFont="1" applyBorder="1"/>
    <xf numFmtId="0" fontId="4" fillId="2" borderId="1" xfId="0" applyFont="1" applyFill="1" applyBorder="1" applyAlignment="1">
      <alignment horizontal="center" vertical="distributed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distributed"/>
    </xf>
    <xf numFmtId="0" fontId="5" fillId="2" borderId="2" xfId="0" applyFont="1" applyFill="1" applyBorder="1" applyAlignment="1">
      <alignment horizontal="center" vertical="center" wrapText="1"/>
    </xf>
    <xf numFmtId="49" fontId="7" fillId="0" borderId="38" xfId="0" applyNumberFormat="1" applyFont="1" applyFill="1" applyBorder="1"/>
    <xf numFmtId="0" fontId="7" fillId="0" borderId="31" xfId="0" applyFont="1" applyFill="1" applyBorder="1" applyAlignment="1">
      <alignment horizontal="justify"/>
    </xf>
    <xf numFmtId="0" fontId="7" fillId="0" borderId="31" xfId="0" applyFont="1" applyFill="1" applyBorder="1" applyAlignment="1">
      <alignment horizontal="center"/>
    </xf>
    <xf numFmtId="164" fontId="7" fillId="0" borderId="31" xfId="0" applyNumberFormat="1" applyFont="1" applyFill="1" applyBorder="1"/>
    <xf numFmtId="164" fontId="6" fillId="0" borderId="31" xfId="0" applyNumberFormat="1" applyFont="1" applyFill="1" applyBorder="1" applyAlignment="1">
      <alignment horizontal="right"/>
    </xf>
    <xf numFmtId="4" fontId="9" fillId="0" borderId="31" xfId="0" applyNumberFormat="1" applyFont="1" applyFill="1" applyBorder="1"/>
    <xf numFmtId="4" fontId="7" fillId="0" borderId="31" xfId="0" applyNumberFormat="1" applyFont="1" applyFill="1" applyBorder="1"/>
    <xf numFmtId="164" fontId="7" fillId="0" borderId="32" xfId="0" applyNumberFormat="1" applyFont="1" applyFill="1" applyBorder="1"/>
    <xf numFmtId="164" fontId="18" fillId="0" borderId="31" xfId="0" applyNumberFormat="1" applyFont="1" applyFill="1" applyBorder="1"/>
    <xf numFmtId="49" fontId="7" fillId="0" borderId="24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horizontal="justify" vertical="center"/>
    </xf>
    <xf numFmtId="0" fontId="7" fillId="0" borderId="11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vertical="center"/>
    </xf>
    <xf numFmtId="164" fontId="6" fillId="0" borderId="11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7" fillId="0" borderId="18" xfId="0" applyFont="1" applyFill="1" applyBorder="1" applyAlignment="1">
      <alignment horizontal="justify" vertical="center"/>
    </xf>
    <xf numFmtId="0" fontId="7" fillId="0" borderId="18" xfId="0" applyFont="1" applyBorder="1" applyAlignment="1">
      <alignment horizontal="center" vertical="center"/>
    </xf>
    <xf numFmtId="164" fontId="7" fillId="0" borderId="18" xfId="0" applyNumberFormat="1" applyFont="1" applyBorder="1" applyAlignment="1">
      <alignment vertical="center"/>
    </xf>
    <xf numFmtId="164" fontId="6" fillId="0" borderId="18" xfId="0" applyNumberFormat="1" applyFont="1" applyBorder="1" applyAlignment="1">
      <alignment horizontal="right" vertical="center"/>
    </xf>
    <xf numFmtId="164" fontId="7" fillId="0" borderId="18" xfId="0" applyNumberFormat="1" applyFont="1" applyFill="1" applyBorder="1" applyAlignment="1">
      <alignment vertical="center"/>
    </xf>
    <xf numFmtId="4" fontId="9" fillId="0" borderId="19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 wrapText="1"/>
    </xf>
    <xf numFmtId="49" fontId="7" fillId="0" borderId="25" xfId="0" applyNumberFormat="1" applyFont="1" applyBorder="1" applyAlignment="1">
      <alignment vertical="center"/>
    </xf>
    <xf numFmtId="49" fontId="7" fillId="0" borderId="9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justify" vertical="center"/>
    </xf>
    <xf numFmtId="0" fontId="7" fillId="0" borderId="9" xfId="0" applyFont="1" applyBorder="1" applyAlignment="1">
      <alignment horizontal="center" vertical="center"/>
    </xf>
    <xf numFmtId="164" fontId="7" fillId="0" borderId="9" xfId="0" applyNumberFormat="1" applyFont="1" applyBorder="1" applyAlignment="1">
      <alignment vertical="center"/>
    </xf>
    <xf numFmtId="164" fontId="7" fillId="0" borderId="9" xfId="0" applyNumberFormat="1" applyFont="1" applyFill="1" applyBorder="1" applyAlignment="1">
      <alignment vertical="center"/>
    </xf>
    <xf numFmtId="164" fontId="7" fillId="0" borderId="7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49" fontId="11" fillId="2" borderId="1" xfId="0" applyNumberFormat="1" applyFont="1" applyFill="1" applyBorder="1" applyAlignment="1">
      <alignment horizontal="center" vertical="distributed"/>
    </xf>
    <xf numFmtId="49" fontId="11" fillId="2" borderId="6" xfId="0" applyNumberFormat="1" applyFont="1" applyFill="1" applyBorder="1" applyAlignment="1">
      <alignment horizontal="center" vertical="distributed"/>
    </xf>
    <xf numFmtId="0" fontId="4" fillId="2" borderId="1" xfId="0" applyFont="1" applyFill="1" applyBorder="1" applyAlignment="1">
      <alignment horizontal="center" vertical="distributed"/>
    </xf>
    <xf numFmtId="0" fontId="4" fillId="2" borderId="6" xfId="0" applyFont="1" applyFill="1" applyBorder="1" applyAlignment="1">
      <alignment horizontal="center" vertical="distributed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4" fillId="2" borderId="2" xfId="0" applyFont="1" applyFill="1" applyBorder="1" applyAlignment="1">
      <alignment horizontal="center" vertical="distributed"/>
    </xf>
    <xf numFmtId="0" fontId="4" fillId="2" borderId="3" xfId="0" applyFont="1" applyFill="1" applyBorder="1" applyAlignment="1">
      <alignment horizontal="center" vertical="distributed"/>
    </xf>
    <xf numFmtId="0" fontId="4" fillId="2" borderId="4" xfId="0" applyFont="1" applyFill="1" applyBorder="1" applyAlignment="1">
      <alignment horizontal="center" vertical="distributed"/>
    </xf>
    <xf numFmtId="0" fontId="4" fillId="2" borderId="5" xfId="0" applyFont="1" applyFill="1" applyBorder="1" applyAlignment="1">
      <alignment horizontal="center" vertical="distributed"/>
    </xf>
    <xf numFmtId="4" fontId="4" fillId="2" borderId="1" xfId="0" applyNumberFormat="1" applyFont="1" applyFill="1" applyBorder="1" applyAlignment="1">
      <alignment horizontal="justify" vertical="distributed" wrapText="1"/>
    </xf>
    <xf numFmtId="4" fontId="4" fillId="2" borderId="6" xfId="0" applyNumberFormat="1" applyFont="1" applyFill="1" applyBorder="1" applyAlignment="1">
      <alignment horizontal="justify" vertical="distributed"/>
    </xf>
    <xf numFmtId="4" fontId="5" fillId="2" borderId="3" xfId="0" applyNumberFormat="1" applyFont="1" applyFill="1" applyBorder="1" applyAlignment="1">
      <alignment horizontal="center" vertical="distributed"/>
    </xf>
    <xf numFmtId="4" fontId="5" fillId="2" borderId="4" xfId="0" applyNumberFormat="1" applyFont="1" applyFill="1" applyBorder="1" applyAlignment="1">
      <alignment horizontal="center" vertical="distributed"/>
    </xf>
    <xf numFmtId="4" fontId="5" fillId="2" borderId="5" xfId="0" applyNumberFormat="1" applyFont="1" applyFill="1" applyBorder="1" applyAlignment="1">
      <alignment horizontal="center" vertical="distributed"/>
    </xf>
    <xf numFmtId="49" fontId="4" fillId="2" borderId="1" xfId="0" applyNumberFormat="1" applyFont="1" applyFill="1" applyBorder="1" applyAlignment="1">
      <alignment horizontal="center" vertical="distributed"/>
    </xf>
    <xf numFmtId="49" fontId="4" fillId="2" borderId="6" xfId="0" applyNumberFormat="1" applyFont="1" applyFill="1" applyBorder="1" applyAlignment="1">
      <alignment horizontal="center" vertical="distributed"/>
    </xf>
    <xf numFmtId="164" fontId="16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5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040100" y="1264920"/>
          <a:ext cx="4023360" cy="16764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960120</xdr:colOff>
      <xdr:row>38</xdr:row>
      <xdr:rowOff>83820</xdr:rowOff>
    </xdr:from>
    <xdr:to>
      <xdr:col>6</xdr:col>
      <xdr:colOff>37011</xdr:colOff>
      <xdr:row>39</xdr:row>
      <xdr:rowOff>99060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5737860" y="116509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106680</xdr:rowOff>
    </xdr:from>
    <xdr:to>
      <xdr:col>2</xdr:col>
      <xdr:colOff>33315</xdr:colOff>
      <xdr:row>5</xdr:row>
      <xdr:rowOff>15240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680"/>
          <a:ext cx="3264195" cy="10058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5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16847820" y="1097280"/>
          <a:ext cx="3512820" cy="16764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960120</xdr:colOff>
      <xdr:row>43</xdr:row>
      <xdr:rowOff>83820</xdr:rowOff>
    </xdr:from>
    <xdr:to>
      <xdr:col>6</xdr:col>
      <xdr:colOff>37011</xdr:colOff>
      <xdr:row>44</xdr:row>
      <xdr:rowOff>99060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5966460" y="11422380"/>
          <a:ext cx="75111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106680</xdr:rowOff>
    </xdr:from>
    <xdr:to>
      <xdr:col>2</xdr:col>
      <xdr:colOff>33315</xdr:colOff>
      <xdr:row>5</xdr:row>
      <xdr:rowOff>15240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680"/>
          <a:ext cx="3256575" cy="10058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5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14904720" y="1097280"/>
          <a:ext cx="3512820" cy="16764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960120</xdr:colOff>
      <xdr:row>18</xdr:row>
      <xdr:rowOff>83820</xdr:rowOff>
    </xdr:from>
    <xdr:to>
      <xdr:col>7</xdr:col>
      <xdr:colOff>1042851</xdr:colOff>
      <xdr:row>19</xdr:row>
      <xdr:rowOff>99060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5966460" y="11544300"/>
          <a:ext cx="75111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r>
            <a:rPr lang="es-MX"/>
            <a:t>+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2164080</xdr:colOff>
      <xdr:row>5</xdr:row>
      <xdr:rowOff>145500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0520"/>
          <a:ext cx="2895600" cy="892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7"/>
  <sheetViews>
    <sheetView showGridLines="0" zoomScale="59" zoomScaleNormal="59" workbookViewId="0">
      <selection activeCell="T40" sqref="T40"/>
    </sheetView>
  </sheetViews>
  <sheetFormatPr baseColWidth="10" defaultRowHeight="14.5"/>
  <cols>
    <col min="1" max="1" width="7.08984375" customWidth="1"/>
    <col min="2" max="2" width="39.90625" customWidth="1"/>
    <col min="3" max="3" width="8.36328125" customWidth="1"/>
    <col min="4" max="4" width="6.6328125" customWidth="1"/>
    <col min="5" max="5" width="11" customWidth="1"/>
    <col min="6" max="6" width="14.54296875" customWidth="1"/>
    <col min="7" max="7" width="15.90625" customWidth="1"/>
    <col min="8" max="8" width="15.81640625" customWidth="1"/>
    <col min="9" max="9" width="19.08984375" customWidth="1"/>
    <col min="10" max="10" width="12.54296875" customWidth="1"/>
    <col min="11" max="11" width="14.453125" hidden="1" customWidth="1"/>
    <col min="12" max="12" width="11.54296875" hidden="1" customWidth="1"/>
    <col min="13" max="13" width="15.6328125" customWidth="1"/>
    <col min="14" max="14" width="13.08984375" customWidth="1"/>
    <col min="15" max="15" width="14.08984375" customWidth="1"/>
    <col min="16" max="16" width="13.08984375" customWidth="1"/>
    <col min="17" max="17" width="12.81640625" customWidth="1"/>
    <col min="18" max="18" width="13.08984375" customWidth="1"/>
    <col min="20" max="20" width="12.6328125" customWidth="1"/>
    <col min="21" max="21" width="13.90625" customWidth="1"/>
  </cols>
  <sheetData>
    <row r="1" spans="1:30" s="2" customFormat="1" ht="27.5">
      <c r="A1" s="1"/>
      <c r="C1" s="210" t="s">
        <v>0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3"/>
      <c r="S1" s="3"/>
    </row>
    <row r="2" spans="1:30" s="2" customFormat="1" ht="5.15" customHeight="1">
      <c r="A2" s="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  <c r="R2" s="3"/>
      <c r="S2" s="3"/>
    </row>
    <row r="3" spans="1:30" s="2" customFormat="1" ht="20">
      <c r="A3" s="1"/>
      <c r="C3" s="211" t="s">
        <v>112</v>
      </c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3"/>
      <c r="S3" s="3"/>
    </row>
    <row r="4" spans="1:30" s="2" customFormat="1" ht="20">
      <c r="A4" s="1"/>
      <c r="C4" s="211" t="s">
        <v>113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3"/>
      <c r="S4" s="3"/>
    </row>
    <row r="5" spans="1:30" s="2" customFormat="1" ht="12.5">
      <c r="A5" s="1"/>
      <c r="Q5" s="3"/>
      <c r="R5" s="3"/>
      <c r="S5" s="3"/>
    </row>
    <row r="6" spans="1:30" s="2" customFormat="1" ht="12.5">
      <c r="A6" s="1"/>
      <c r="Q6" s="3"/>
      <c r="R6" s="212" t="s">
        <v>1</v>
      </c>
      <c r="S6" s="212"/>
      <c r="T6" s="212"/>
      <c r="U6" s="212"/>
    </row>
    <row r="7" spans="1:30" s="2" customFormat="1" ht="12.5">
      <c r="A7" s="1"/>
      <c r="Q7" s="3"/>
      <c r="R7" s="3"/>
      <c r="S7" s="3"/>
    </row>
    <row r="8" spans="1:30" s="4" customFormat="1" ht="20.149999999999999" customHeight="1">
      <c r="A8" s="202" t="s">
        <v>59</v>
      </c>
      <c r="B8" s="204" t="s">
        <v>7</v>
      </c>
      <c r="C8" s="204" t="s">
        <v>8</v>
      </c>
      <c r="D8" s="204" t="s">
        <v>9</v>
      </c>
      <c r="E8" s="213" t="s">
        <v>2</v>
      </c>
      <c r="F8" s="213"/>
      <c r="G8" s="214" t="s">
        <v>3</v>
      </c>
      <c r="H8" s="215"/>
      <c r="I8" s="46" t="s">
        <v>4</v>
      </c>
      <c r="J8" s="214" t="s">
        <v>5</v>
      </c>
      <c r="K8" s="215"/>
      <c r="L8" s="215"/>
      <c r="M8" s="215"/>
      <c r="N8" s="215"/>
      <c r="O8" s="215"/>
      <c r="P8" s="216"/>
      <c r="Q8" s="217" t="s">
        <v>63</v>
      </c>
      <c r="R8" s="219" t="s">
        <v>60</v>
      </c>
      <c r="S8" s="220"/>
      <c r="T8" s="221"/>
      <c r="U8" s="47" t="s">
        <v>6</v>
      </c>
    </row>
    <row r="9" spans="1:30" s="4" customFormat="1" ht="42" customHeight="1">
      <c r="A9" s="203"/>
      <c r="B9" s="205"/>
      <c r="C9" s="205"/>
      <c r="D9" s="205"/>
      <c r="E9" s="46" t="s">
        <v>10</v>
      </c>
      <c r="F9" s="48" t="s">
        <v>11</v>
      </c>
      <c r="G9" s="48" t="s">
        <v>12</v>
      </c>
      <c r="H9" s="46" t="s">
        <v>13</v>
      </c>
      <c r="I9" s="49" t="s">
        <v>14</v>
      </c>
      <c r="J9" s="46" t="s">
        <v>64</v>
      </c>
      <c r="K9" s="167" t="s">
        <v>93</v>
      </c>
      <c r="L9" s="53" t="s">
        <v>15</v>
      </c>
      <c r="M9" s="114" t="s">
        <v>74</v>
      </c>
      <c r="N9" s="114" t="s">
        <v>76</v>
      </c>
      <c r="O9" s="115" t="s">
        <v>77</v>
      </c>
      <c r="P9" s="46" t="s">
        <v>16</v>
      </c>
      <c r="Q9" s="218"/>
      <c r="R9" s="50" t="s">
        <v>80</v>
      </c>
      <c r="S9" s="51" t="s">
        <v>61</v>
      </c>
      <c r="T9" s="51" t="s">
        <v>62</v>
      </c>
      <c r="U9" s="52" t="s">
        <v>17</v>
      </c>
    </row>
    <row r="10" spans="1:30" s="6" customFormat="1" ht="36.75" customHeight="1" thickBot="1">
      <c r="A10" s="5"/>
      <c r="B10" s="59" t="s">
        <v>18</v>
      </c>
      <c r="I10" s="7"/>
      <c r="Q10" s="8"/>
      <c r="R10" s="9"/>
      <c r="S10" s="9"/>
      <c r="AD10" s="6">
        <v>15000</v>
      </c>
    </row>
    <row r="11" spans="1:30" s="6" customFormat="1" ht="30" customHeight="1" thickTop="1">
      <c r="A11" s="63" t="s">
        <v>19</v>
      </c>
      <c r="B11" s="64" t="s">
        <v>20</v>
      </c>
      <c r="C11" s="65">
        <v>27</v>
      </c>
      <c r="D11" s="65">
        <v>15</v>
      </c>
      <c r="E11" s="66">
        <f>58759/30</f>
        <v>1958.6333333333334</v>
      </c>
      <c r="F11" s="66">
        <f>D11*E11</f>
        <v>29379.5</v>
      </c>
      <c r="G11" s="66">
        <f>(1617/30)*D11</f>
        <v>808.5</v>
      </c>
      <c r="H11" s="66">
        <f>(88.36/15)*D11</f>
        <v>88.36</v>
      </c>
      <c r="I11" s="67">
        <f>ROUND(SUM(F11:H11),2)</f>
        <v>30276.36</v>
      </c>
      <c r="J11" s="144">
        <v>6965.85</v>
      </c>
      <c r="K11" s="66"/>
      <c r="L11" s="66"/>
      <c r="M11" s="66">
        <f>ROUND((+F11*11.5%),2)</f>
        <v>3378.64</v>
      </c>
      <c r="N11" s="66"/>
      <c r="O11" s="66"/>
      <c r="P11" s="66">
        <f>SUM(J11:O11)</f>
        <v>10344.49</v>
      </c>
      <c r="Q11" s="148">
        <f>+I11-P11</f>
        <v>19931.870000000003</v>
      </c>
      <c r="R11" s="68">
        <f>ROUND((+F11*17.5%),2)</f>
        <v>5141.41</v>
      </c>
      <c r="S11" s="68">
        <f>ROUND((7.3412*80.04),2)</f>
        <v>587.59</v>
      </c>
      <c r="T11" s="66">
        <f>ROUND((+F11*3%),2)+0</f>
        <v>881.39</v>
      </c>
      <c r="U11" s="69">
        <f>SUM(R11:T11)</f>
        <v>6610.39</v>
      </c>
      <c r="V11" s="10"/>
    </row>
    <row r="12" spans="1:30" s="6" customFormat="1" ht="16" thickBot="1">
      <c r="A12" s="72"/>
      <c r="B12" s="78" t="s">
        <v>21</v>
      </c>
      <c r="C12" s="78"/>
      <c r="D12" s="78"/>
      <c r="E12" s="78"/>
      <c r="F12" s="75">
        <f t="shared" ref="F12:T12" si="0">SUM(F11:F11)</f>
        <v>29379.5</v>
      </c>
      <c r="G12" s="75">
        <f t="shared" si="0"/>
        <v>808.5</v>
      </c>
      <c r="H12" s="75">
        <f t="shared" si="0"/>
        <v>88.36</v>
      </c>
      <c r="I12" s="75">
        <f t="shared" si="0"/>
        <v>30276.36</v>
      </c>
      <c r="J12" s="75">
        <f t="shared" si="0"/>
        <v>6965.85</v>
      </c>
      <c r="K12" s="75">
        <f t="shared" si="0"/>
        <v>0</v>
      </c>
      <c r="L12" s="75">
        <f t="shared" si="0"/>
        <v>0</v>
      </c>
      <c r="M12" s="75">
        <f t="shared" si="0"/>
        <v>3378.64</v>
      </c>
      <c r="N12" s="75">
        <f t="shared" si="0"/>
        <v>0</v>
      </c>
      <c r="O12" s="75">
        <f t="shared" si="0"/>
        <v>0</v>
      </c>
      <c r="P12" s="75">
        <f t="shared" si="0"/>
        <v>10344.49</v>
      </c>
      <c r="Q12" s="75">
        <f t="shared" si="0"/>
        <v>19931.870000000003</v>
      </c>
      <c r="R12" s="75">
        <f t="shared" si="0"/>
        <v>5141.41</v>
      </c>
      <c r="S12" s="75">
        <f t="shared" si="0"/>
        <v>587.59</v>
      </c>
      <c r="T12" s="75">
        <f t="shared" si="0"/>
        <v>881.39</v>
      </c>
      <c r="U12" s="77">
        <f>+U11</f>
        <v>6610.39</v>
      </c>
    </row>
    <row r="13" spans="1:30" s="20" customFormat="1" ht="36.75" customHeight="1" thickTop="1">
      <c r="A13" s="11"/>
      <c r="B13" s="60" t="s">
        <v>22</v>
      </c>
      <c r="C13" s="12"/>
      <c r="D13" s="12"/>
      <c r="E13" s="13"/>
      <c r="F13" s="13"/>
      <c r="G13" s="13"/>
      <c r="H13" s="13"/>
      <c r="I13" s="14"/>
      <c r="J13" s="12"/>
      <c r="K13" s="12"/>
      <c r="L13" s="15"/>
      <c r="M13" s="13"/>
      <c r="N13" s="13"/>
      <c r="O13" s="15"/>
      <c r="P13" s="16"/>
      <c r="Q13" s="17"/>
      <c r="R13" s="18"/>
      <c r="S13" s="19"/>
      <c r="T13" s="13"/>
      <c r="U13" s="15"/>
    </row>
    <row r="14" spans="1:30" s="2" customFormat="1" ht="3.75" customHeight="1" thickBot="1">
      <c r="A14" s="1"/>
      <c r="Q14" s="3"/>
      <c r="R14" s="3"/>
      <c r="S14" s="3"/>
    </row>
    <row r="15" spans="1:30" s="6" customFormat="1" ht="30" customHeight="1" thickTop="1">
      <c r="A15" s="63" t="s">
        <v>23</v>
      </c>
      <c r="B15" s="64" t="s">
        <v>24</v>
      </c>
      <c r="C15" s="65">
        <v>19</v>
      </c>
      <c r="D15" s="65">
        <v>15</v>
      </c>
      <c r="E15" s="66">
        <v>817.76666666666699</v>
      </c>
      <c r="F15" s="66">
        <f>+D15*E15</f>
        <v>12266.500000000005</v>
      </c>
      <c r="G15" s="66">
        <f>(1016/30)*D15</f>
        <v>508</v>
      </c>
      <c r="H15" s="66">
        <f>(88.36/15)*D15</f>
        <v>88.36</v>
      </c>
      <c r="I15" s="67">
        <f>ROUND(SUM(F15:H15),2)</f>
        <v>12862.86</v>
      </c>
      <c r="J15" s="144">
        <v>2128.9699999999998</v>
      </c>
      <c r="K15" s="66"/>
      <c r="L15" s="66"/>
      <c r="M15" s="66">
        <f>ROUND((+F15*11.5%),2)</f>
        <v>1410.65</v>
      </c>
      <c r="N15" s="66"/>
      <c r="O15" s="66"/>
      <c r="P15" s="66">
        <f>SUM(J15:O15)</f>
        <v>3539.62</v>
      </c>
      <c r="Q15" s="148">
        <f>+I15-P15</f>
        <v>9323.2400000000016</v>
      </c>
      <c r="R15" s="68">
        <f>ROUND((+F15*17.5%),2)</f>
        <v>2146.64</v>
      </c>
      <c r="S15" s="68">
        <f>ROUND((+F15*2%),2)</f>
        <v>245.33</v>
      </c>
      <c r="T15" s="66">
        <f>ROUND((+F15*3%),2)</f>
        <v>368</v>
      </c>
      <c r="U15" s="69">
        <f>SUM(R15:T15)</f>
        <v>2759.97</v>
      </c>
      <c r="V15" s="10"/>
    </row>
    <row r="16" spans="1:30" s="6" customFormat="1" ht="30" customHeight="1">
      <c r="A16" s="70" t="s">
        <v>25</v>
      </c>
      <c r="B16" s="54" t="s">
        <v>26</v>
      </c>
      <c r="C16" s="55">
        <v>16</v>
      </c>
      <c r="D16" s="55">
        <v>15</v>
      </c>
      <c r="E16" s="56">
        <v>573.76666666666699</v>
      </c>
      <c r="F16" s="56">
        <f>D16*E16</f>
        <v>8606.5000000000055</v>
      </c>
      <c r="G16" s="56">
        <f>(779/30)*D16</f>
        <v>389.5</v>
      </c>
      <c r="H16" s="56">
        <f>(88.36/15)*D16</f>
        <v>88.36</v>
      </c>
      <c r="I16" s="57">
        <f>ROUND(SUM(F16:H16),2)</f>
        <v>9084.36</v>
      </c>
      <c r="J16" s="101">
        <v>1302.2</v>
      </c>
      <c r="K16" s="56"/>
      <c r="L16" s="56"/>
      <c r="M16" s="56">
        <f>ROUND((+F16*11.5%),2)</f>
        <v>989.75</v>
      </c>
      <c r="N16" s="56"/>
      <c r="O16" s="101"/>
      <c r="P16" s="56">
        <f>SUM(J16:O16)</f>
        <v>2291.9499999999998</v>
      </c>
      <c r="Q16" s="132">
        <f>+I16-P16</f>
        <v>6792.4100000000008</v>
      </c>
      <c r="R16" s="58">
        <f>ROUND((+F16*17.5%),2)</f>
        <v>1506.14</v>
      </c>
      <c r="S16" s="58">
        <f>ROUND((+F16*2%),2)+0</f>
        <v>172.13</v>
      </c>
      <c r="T16" s="56">
        <f>ROUND((+F16*3%),2)</f>
        <v>258.2</v>
      </c>
      <c r="U16" s="71">
        <f>SUM(R16:T16)</f>
        <v>1936.47</v>
      </c>
      <c r="V16" s="10"/>
    </row>
    <row r="17" spans="1:22" s="136" customFormat="1" ht="30" customHeight="1">
      <c r="A17" s="128" t="s">
        <v>27</v>
      </c>
      <c r="B17" s="129" t="s">
        <v>28</v>
      </c>
      <c r="C17" s="130">
        <v>8</v>
      </c>
      <c r="D17" s="130">
        <v>15</v>
      </c>
      <c r="E17" s="101">
        <v>413.53333333333302</v>
      </c>
      <c r="F17" s="101">
        <f>D17*E17</f>
        <v>6202.9999999999955</v>
      </c>
      <c r="G17" s="101">
        <f>(645/30)*D17</f>
        <v>322.5</v>
      </c>
      <c r="H17" s="101"/>
      <c r="I17" s="131">
        <f>ROUND(SUM(F17:H17),2)</f>
        <v>6525.5</v>
      </c>
      <c r="J17" s="101">
        <v>755.63</v>
      </c>
      <c r="K17" s="101"/>
      <c r="L17" s="101"/>
      <c r="M17" s="101">
        <f>ROUND((+F17*11.5%),2)+0.01</f>
        <v>713.35</v>
      </c>
      <c r="N17" s="101"/>
      <c r="O17" s="101"/>
      <c r="P17" s="101">
        <f>SUM(J17:O17)</f>
        <v>1468.98</v>
      </c>
      <c r="Q17" s="132">
        <f>+I17-P17</f>
        <v>5056.5200000000004</v>
      </c>
      <c r="R17" s="133">
        <f>ROUND((+F17*17.5%),2)</f>
        <v>1085.53</v>
      </c>
      <c r="S17" s="133">
        <f>ROUND((+F17*2%),2)</f>
        <v>124.06</v>
      </c>
      <c r="T17" s="101">
        <f>ROUND((+F17*3%),2)+0.01</f>
        <v>186.1</v>
      </c>
      <c r="U17" s="134">
        <f>SUM(R17:T17)</f>
        <v>1395.6899999999998</v>
      </c>
      <c r="V17" s="135"/>
    </row>
    <row r="18" spans="1:22" s="136" customFormat="1" ht="30" customHeight="1">
      <c r="A18" s="128" t="s">
        <v>87</v>
      </c>
      <c r="B18" s="129" t="s">
        <v>88</v>
      </c>
      <c r="C18" s="130">
        <v>4</v>
      </c>
      <c r="D18" s="137">
        <v>15</v>
      </c>
      <c r="E18" s="101">
        <v>361.26666660000001</v>
      </c>
      <c r="F18" s="101">
        <f>ROUND((D18*E18),0)+0</f>
        <v>5419</v>
      </c>
      <c r="G18" s="101">
        <f>(482/30)*D18</f>
        <v>241</v>
      </c>
      <c r="H18" s="101"/>
      <c r="I18" s="131">
        <f>ROUND(SUM(F18:H18),2)</f>
        <v>5660</v>
      </c>
      <c r="J18" s="101">
        <v>579.91</v>
      </c>
      <c r="K18" s="101"/>
      <c r="L18" s="101"/>
      <c r="M18" s="101">
        <f>ROUND((+F18*11.5%),2)+0</f>
        <v>623.19000000000005</v>
      </c>
      <c r="N18" s="101">
        <f>ROUND((F18*0.01),2)</f>
        <v>54.19</v>
      </c>
      <c r="O18" s="101">
        <v>441.53</v>
      </c>
      <c r="P18" s="101">
        <f>SUM(J18:O18)</f>
        <v>1698.82</v>
      </c>
      <c r="Q18" s="132">
        <f>+I18-P18-0</f>
        <v>3961.1800000000003</v>
      </c>
      <c r="R18" s="133">
        <f>ROUND((+F18*17.5%),2)</f>
        <v>948.33</v>
      </c>
      <c r="S18" s="133">
        <f>ROUND((+F18*2%),2)</f>
        <v>108.38</v>
      </c>
      <c r="T18" s="101">
        <f>ROUND((+F18*3%),2)-0.01</f>
        <v>162.56</v>
      </c>
      <c r="U18" s="134">
        <f>SUM(R18:T18)</f>
        <v>1219.27</v>
      </c>
      <c r="V18" s="135"/>
    </row>
    <row r="19" spans="1:22" s="136" customFormat="1" ht="30" customHeight="1">
      <c r="A19" s="128" t="s">
        <v>29</v>
      </c>
      <c r="B19" s="129" t="s">
        <v>30</v>
      </c>
      <c r="C19" s="130">
        <v>1</v>
      </c>
      <c r="D19" s="130">
        <v>15</v>
      </c>
      <c r="E19" s="101">
        <v>161.78333333333299</v>
      </c>
      <c r="F19" s="101">
        <f>D19*E19</f>
        <v>2426.749999999995</v>
      </c>
      <c r="G19" s="101">
        <f>112.57</f>
        <v>112.57</v>
      </c>
      <c r="H19" s="101">
        <f>((88.36*1.5)/15)*D19</f>
        <v>132.54</v>
      </c>
      <c r="I19" s="131">
        <f>ROUND(SUM(F19:H19),2)</f>
        <v>2671.86</v>
      </c>
      <c r="J19" s="101">
        <v>23.99</v>
      </c>
      <c r="K19" s="101"/>
      <c r="L19" s="101">
        <v>0</v>
      </c>
      <c r="M19" s="101">
        <f>ROUND((+F19*11.5%),2)</f>
        <v>279.08</v>
      </c>
      <c r="N19" s="101">
        <f>ROUND((F19*0.01),2)</f>
        <v>24.27</v>
      </c>
      <c r="O19" s="101"/>
      <c r="P19" s="101">
        <f>SUM(J19:O19)</f>
        <v>327.33999999999997</v>
      </c>
      <c r="Q19" s="132">
        <f>+I19-P19</f>
        <v>2344.52</v>
      </c>
      <c r="R19" s="133">
        <f>ROUND((+F19*17.5%),2)</f>
        <v>424.68</v>
      </c>
      <c r="S19" s="133">
        <f>ROUND((+F19*2%),2)+0.01</f>
        <v>48.54</v>
      </c>
      <c r="T19" s="101">
        <f>ROUND((+F19*3%),2)</f>
        <v>72.8</v>
      </c>
      <c r="U19" s="134">
        <f>SUM(R19:T19)</f>
        <v>546.02</v>
      </c>
      <c r="V19" s="135"/>
    </row>
    <row r="20" spans="1:22" s="22" customFormat="1" ht="17" thickBot="1">
      <c r="A20" s="72"/>
      <c r="B20" s="73" t="s">
        <v>21</v>
      </c>
      <c r="C20" s="74"/>
      <c r="D20" s="74"/>
      <c r="E20" s="75"/>
      <c r="F20" s="75">
        <f>SUM(F15:F19)+0</f>
        <v>34921.75</v>
      </c>
      <c r="G20" s="75">
        <f t="shared" ref="G20:U20" si="1">SUM(G15:G19)</f>
        <v>1573.57</v>
      </c>
      <c r="H20" s="75">
        <f t="shared" si="1"/>
        <v>309.26</v>
      </c>
      <c r="I20" s="75">
        <f t="shared" si="1"/>
        <v>36804.58</v>
      </c>
      <c r="J20" s="75">
        <f>SUM(J15:J19)</f>
        <v>4790.7</v>
      </c>
      <c r="K20" s="88">
        <f t="shared" si="1"/>
        <v>0</v>
      </c>
      <c r="L20" s="113">
        <f t="shared" si="1"/>
        <v>0</v>
      </c>
      <c r="M20" s="75">
        <f t="shared" si="1"/>
        <v>4016.02</v>
      </c>
      <c r="N20" s="75">
        <f t="shared" si="1"/>
        <v>78.459999999999994</v>
      </c>
      <c r="O20" s="75">
        <f t="shared" si="1"/>
        <v>441.53</v>
      </c>
      <c r="P20" s="75">
        <f t="shared" si="1"/>
        <v>9326.7099999999991</v>
      </c>
      <c r="Q20" s="76">
        <f t="shared" si="1"/>
        <v>27477.870000000003</v>
      </c>
      <c r="R20" s="75">
        <f t="shared" si="1"/>
        <v>6111.32</v>
      </c>
      <c r="S20" s="75">
        <f t="shared" si="1"/>
        <v>698.43999999999994</v>
      </c>
      <c r="T20" s="75">
        <f t="shared" si="1"/>
        <v>1047.6600000000001</v>
      </c>
      <c r="U20" s="77">
        <f t="shared" si="1"/>
        <v>7857.42</v>
      </c>
      <c r="V20" s="21"/>
    </row>
    <row r="21" spans="1:22" s="22" customFormat="1" ht="20.149999999999999" customHeight="1" thickTop="1">
      <c r="A21" s="23"/>
      <c r="B21" s="24"/>
      <c r="C21" s="25"/>
      <c r="D21" s="25"/>
      <c r="E21" s="21"/>
      <c r="F21" s="21"/>
      <c r="G21" s="21"/>
      <c r="H21" s="21"/>
      <c r="I21" s="26"/>
      <c r="J21" s="21"/>
      <c r="K21" s="21"/>
      <c r="L21" s="21"/>
      <c r="M21" s="21"/>
      <c r="N21" s="21"/>
      <c r="O21" s="21"/>
      <c r="P21" s="21"/>
      <c r="Q21" s="27"/>
      <c r="R21" s="28"/>
      <c r="S21" s="28"/>
      <c r="T21" s="21"/>
      <c r="U21" s="21"/>
      <c r="V21" s="21"/>
    </row>
    <row r="22" spans="1:22" s="22" customFormat="1" ht="16" thickBot="1">
      <c r="A22" s="23"/>
      <c r="B22" s="59" t="s">
        <v>31</v>
      </c>
      <c r="C22" s="25"/>
      <c r="D22" s="25"/>
      <c r="E22" s="21"/>
      <c r="F22" s="21"/>
      <c r="G22" s="21"/>
      <c r="H22" s="21"/>
      <c r="I22" s="26"/>
      <c r="J22" s="21"/>
      <c r="K22" s="21"/>
      <c r="L22" s="21"/>
      <c r="M22" s="21"/>
      <c r="N22" s="21"/>
      <c r="O22" s="21"/>
      <c r="P22" s="21"/>
      <c r="Q22" s="27"/>
      <c r="R22" s="28"/>
      <c r="S22" s="28"/>
      <c r="T22" s="21"/>
      <c r="U22" s="21"/>
      <c r="V22" s="21"/>
    </row>
    <row r="23" spans="1:22" s="136" customFormat="1" ht="30" customHeight="1" thickTop="1">
      <c r="A23" s="149" t="s">
        <v>32</v>
      </c>
      <c r="B23" s="150" t="s">
        <v>33</v>
      </c>
      <c r="C23" s="151">
        <v>21</v>
      </c>
      <c r="D23" s="151">
        <v>15</v>
      </c>
      <c r="E23" s="144">
        <v>1029.43333333333</v>
      </c>
      <c r="F23" s="144">
        <f>D23*E23</f>
        <v>15441.499999999949</v>
      </c>
      <c r="G23" s="144">
        <f>(1133/30)*D23</f>
        <v>566.5</v>
      </c>
      <c r="H23" s="144">
        <f>((88.36*1.5)/15)*D23</f>
        <v>132.54</v>
      </c>
      <c r="I23" s="152">
        <f>ROUND(SUM(F23:H23),2)</f>
        <v>16140.54</v>
      </c>
      <c r="J23" s="144">
        <v>2899.88</v>
      </c>
      <c r="K23" s="144"/>
      <c r="L23" s="144"/>
      <c r="M23" s="144">
        <f>ROUND((+F23*11.5%),2)</f>
        <v>1775.77</v>
      </c>
      <c r="N23" s="144"/>
      <c r="O23" s="144"/>
      <c r="P23" s="144">
        <f>SUM(J23:O23)</f>
        <v>4675.6499999999996</v>
      </c>
      <c r="Q23" s="148">
        <f>+I23-P23</f>
        <v>11464.890000000001</v>
      </c>
      <c r="R23" s="153">
        <f>ROUND((+F23*17.5%),2)</f>
        <v>2702.26</v>
      </c>
      <c r="S23" s="153">
        <f>ROUND((+F23*2%),2)</f>
        <v>308.83</v>
      </c>
      <c r="T23" s="144">
        <f>ROUND((+F23*3%),2)</f>
        <v>463.24</v>
      </c>
      <c r="U23" s="154">
        <f>SUM(R23:T23)</f>
        <v>3474.33</v>
      </c>
      <c r="V23" s="135"/>
    </row>
    <row r="24" spans="1:22" s="6" customFormat="1" ht="30" customHeight="1">
      <c r="A24" s="70" t="s">
        <v>83</v>
      </c>
      <c r="B24" s="54" t="s">
        <v>84</v>
      </c>
      <c r="C24" s="55">
        <v>16</v>
      </c>
      <c r="D24" s="55">
        <v>15</v>
      </c>
      <c r="E24" s="56">
        <v>573.76666666666699</v>
      </c>
      <c r="F24" s="56">
        <f>D24*E24</f>
        <v>8606.5000000000055</v>
      </c>
      <c r="G24" s="56">
        <f>(779/30)*D24</f>
        <v>389.5</v>
      </c>
      <c r="H24" s="56"/>
      <c r="I24" s="57">
        <f>ROUND(SUM(F24:H24),2)</f>
        <v>8996</v>
      </c>
      <c r="J24" s="101">
        <v>1283.33</v>
      </c>
      <c r="K24" s="56"/>
      <c r="L24" s="56"/>
      <c r="M24" s="56">
        <f>ROUND((+F24*11.5%),2)</f>
        <v>989.75</v>
      </c>
      <c r="N24" s="56"/>
      <c r="O24" s="56">
        <v>1913</v>
      </c>
      <c r="P24" s="56">
        <f>SUM(J24:O24)</f>
        <v>4186.08</v>
      </c>
      <c r="Q24" s="132">
        <f>+I24-P24</f>
        <v>4809.92</v>
      </c>
      <c r="R24" s="58">
        <f>ROUND((+F24*17.5%),2)</f>
        <v>1506.14</v>
      </c>
      <c r="S24" s="58">
        <f>ROUND((+F24*2%),2)</f>
        <v>172.13</v>
      </c>
      <c r="T24" s="56">
        <f>ROUND((+F24*3%),2)</f>
        <v>258.2</v>
      </c>
      <c r="U24" s="71">
        <f>SUM(R24:T24)</f>
        <v>1936.47</v>
      </c>
      <c r="V24" s="10"/>
    </row>
    <row r="25" spans="1:22" s="6" customFormat="1" ht="30" customHeight="1">
      <c r="A25" s="142" t="s">
        <v>89</v>
      </c>
      <c r="B25" s="143" t="s">
        <v>71</v>
      </c>
      <c r="C25" s="102">
        <v>16</v>
      </c>
      <c r="D25" s="102">
        <v>15</v>
      </c>
      <c r="E25" s="103">
        <v>573.76666666666699</v>
      </c>
      <c r="F25" s="103">
        <f>TRUNC((D25*E25),2)+0</f>
        <v>8606.5</v>
      </c>
      <c r="G25" s="103">
        <f>TRUNC((779/30)*D25,2)+0</f>
        <v>389.5</v>
      </c>
      <c r="H25" s="103"/>
      <c r="I25" s="116">
        <f>ROUND(SUM(F25:H25),2)</f>
        <v>8996</v>
      </c>
      <c r="J25" s="138">
        <v>1283.33</v>
      </c>
      <c r="K25" s="103"/>
      <c r="L25" s="103"/>
      <c r="M25" s="103">
        <f>ROUND((+F25*11.5%),2)</f>
        <v>989.75</v>
      </c>
      <c r="N25" s="103"/>
      <c r="O25" s="103"/>
      <c r="P25" s="103">
        <f>SUM(J25:O25)</f>
        <v>2273.08</v>
      </c>
      <c r="Q25" s="147">
        <f>+I25-P25</f>
        <v>6722.92</v>
      </c>
      <c r="R25" s="104">
        <f>ROUND((+F25*17.5%),2)</f>
        <v>1506.14</v>
      </c>
      <c r="S25" s="104">
        <f>ROUND((+F25*2%),2)</f>
        <v>172.13</v>
      </c>
      <c r="T25" s="103">
        <f>ROUND((+F25*3%),2)</f>
        <v>258.2</v>
      </c>
      <c r="U25" s="105">
        <f>SUM(R25:T25)</f>
        <v>1936.47</v>
      </c>
      <c r="V25" s="10"/>
    </row>
    <row r="26" spans="1:22" s="6" customFormat="1" ht="17" thickBot="1">
      <c r="A26" s="72"/>
      <c r="B26" s="78" t="s">
        <v>21</v>
      </c>
      <c r="C26" s="78"/>
      <c r="D26" s="78"/>
      <c r="E26" s="78"/>
      <c r="F26" s="75">
        <f t="shared" ref="F26:U26" si="2">SUM(F23:F25)</f>
        <v>32654.499999999956</v>
      </c>
      <c r="G26" s="75">
        <f t="shared" si="2"/>
        <v>1345.5</v>
      </c>
      <c r="H26" s="75">
        <f t="shared" si="2"/>
        <v>132.54</v>
      </c>
      <c r="I26" s="75">
        <f t="shared" si="2"/>
        <v>34132.54</v>
      </c>
      <c r="J26" s="75">
        <f t="shared" si="2"/>
        <v>5466.54</v>
      </c>
      <c r="K26" s="75">
        <f t="shared" si="2"/>
        <v>0</v>
      </c>
      <c r="L26" s="75">
        <f t="shared" si="2"/>
        <v>0</v>
      </c>
      <c r="M26" s="75">
        <f t="shared" si="2"/>
        <v>3755.27</v>
      </c>
      <c r="N26" s="75">
        <f t="shared" si="2"/>
        <v>0</v>
      </c>
      <c r="O26" s="75">
        <f t="shared" si="2"/>
        <v>1913</v>
      </c>
      <c r="P26" s="75">
        <f t="shared" si="2"/>
        <v>11134.81</v>
      </c>
      <c r="Q26" s="76">
        <f t="shared" si="2"/>
        <v>22997.730000000003</v>
      </c>
      <c r="R26" s="75">
        <f t="shared" si="2"/>
        <v>5714.5400000000009</v>
      </c>
      <c r="S26" s="75">
        <f t="shared" si="2"/>
        <v>653.08999999999992</v>
      </c>
      <c r="T26" s="75">
        <f t="shared" si="2"/>
        <v>979.6400000000001</v>
      </c>
      <c r="U26" s="77">
        <f t="shared" si="2"/>
        <v>7347.27</v>
      </c>
    </row>
    <row r="27" spans="1:22" s="22" customFormat="1" ht="20.149999999999999" customHeight="1" thickTop="1">
      <c r="A27" s="23"/>
      <c r="B27" s="24"/>
      <c r="C27" s="25"/>
      <c r="D27" s="25"/>
      <c r="E27" s="21"/>
      <c r="F27" s="21"/>
      <c r="G27" s="21"/>
      <c r="H27" s="21"/>
      <c r="I27" s="26"/>
      <c r="J27" s="21"/>
      <c r="K27" s="21"/>
      <c r="L27" s="21"/>
      <c r="M27" s="21"/>
      <c r="N27" s="21"/>
      <c r="O27" s="6"/>
      <c r="P27" s="21"/>
      <c r="Q27" s="27"/>
      <c r="R27" s="28"/>
      <c r="S27" s="28"/>
      <c r="T27" s="21"/>
      <c r="U27" s="21"/>
      <c r="V27" s="21"/>
    </row>
    <row r="28" spans="1:22" s="22" customFormat="1" ht="27" customHeight="1" thickBot="1">
      <c r="A28" s="23"/>
      <c r="B28" s="59" t="s">
        <v>34</v>
      </c>
      <c r="C28" s="25"/>
      <c r="D28" s="25"/>
      <c r="E28" s="21"/>
      <c r="F28" s="21"/>
      <c r="G28" s="21"/>
      <c r="H28" s="21"/>
      <c r="I28" s="26"/>
      <c r="J28" s="21"/>
      <c r="K28" s="21"/>
      <c r="L28" s="21"/>
      <c r="M28" s="21"/>
      <c r="N28" s="21"/>
      <c r="O28" s="21"/>
      <c r="P28" s="21"/>
      <c r="Q28" s="27"/>
      <c r="R28" s="28"/>
      <c r="S28" s="28"/>
      <c r="T28" s="21"/>
      <c r="U28" s="21"/>
      <c r="V28" s="21"/>
    </row>
    <row r="29" spans="1:22" s="6" customFormat="1" ht="30" customHeight="1" thickTop="1">
      <c r="A29" s="63" t="s">
        <v>35</v>
      </c>
      <c r="B29" s="64" t="s">
        <v>36</v>
      </c>
      <c r="C29" s="65">
        <v>21</v>
      </c>
      <c r="D29" s="65">
        <v>15</v>
      </c>
      <c r="E29" s="66">
        <v>1029.43333333333</v>
      </c>
      <c r="F29" s="66">
        <f>D29*E29</f>
        <v>15441.499999999949</v>
      </c>
      <c r="G29" s="66">
        <f>(1133/30)*D29</f>
        <v>566.5</v>
      </c>
      <c r="H29" s="66">
        <f>((88.36*1.5)/15)*D29</f>
        <v>132.54</v>
      </c>
      <c r="I29" s="67">
        <f>ROUND(SUM(F29:H29),2)</f>
        <v>16140.54</v>
      </c>
      <c r="J29" s="144">
        <v>2899.88</v>
      </c>
      <c r="K29" s="66"/>
      <c r="L29" s="66"/>
      <c r="M29" s="66">
        <f>ROUND((+F29*11.5%),2)</f>
        <v>1775.77</v>
      </c>
      <c r="N29" s="66"/>
      <c r="O29" s="66">
        <f>4612.28+242.4</f>
        <v>4854.6799999999994</v>
      </c>
      <c r="P29" s="66">
        <f>SUM(J29:O29)</f>
        <v>9530.3299999999981</v>
      </c>
      <c r="Q29" s="148">
        <f>+I29-P29</f>
        <v>6610.2100000000028</v>
      </c>
      <c r="R29" s="68">
        <f>ROUND((+F29*17.5%),2)</f>
        <v>2702.26</v>
      </c>
      <c r="S29" s="68">
        <f>ROUND((+F29*2%),2)</f>
        <v>308.83</v>
      </c>
      <c r="T29" s="66">
        <f>ROUND((+F29*3%),2)</f>
        <v>463.24</v>
      </c>
      <c r="U29" s="69">
        <f>SUM(R29:T29)</f>
        <v>3474.33</v>
      </c>
      <c r="V29" s="10"/>
    </row>
    <row r="30" spans="1:22" s="6" customFormat="1" ht="30" customHeight="1">
      <c r="A30" s="70" t="s">
        <v>37</v>
      </c>
      <c r="B30" s="54" t="s">
        <v>38</v>
      </c>
      <c r="C30" s="55">
        <v>17</v>
      </c>
      <c r="D30" s="55">
        <v>15</v>
      </c>
      <c r="E30" s="56">
        <v>651.06666666666695</v>
      </c>
      <c r="F30" s="56">
        <f>D30*E30</f>
        <v>9766.0000000000036</v>
      </c>
      <c r="G30" s="56">
        <f>(857/30)*D30</f>
        <v>428.5</v>
      </c>
      <c r="H30" s="56">
        <f>(88.36/15)*D30</f>
        <v>88.36</v>
      </c>
      <c r="I30" s="57">
        <f>ROUND(SUM(F30:H30),2)</f>
        <v>10282.86</v>
      </c>
      <c r="J30" s="101">
        <v>1558.2</v>
      </c>
      <c r="K30" s="56"/>
      <c r="L30" s="56"/>
      <c r="M30" s="56">
        <f>ROUND((+F30*11.5%),2)</f>
        <v>1123.0899999999999</v>
      </c>
      <c r="N30" s="56"/>
      <c r="O30" s="56">
        <v>3256</v>
      </c>
      <c r="P30" s="56">
        <f>SUM(J30:O30)</f>
        <v>5937.29</v>
      </c>
      <c r="Q30" s="132">
        <f>+I30-P30</f>
        <v>4345.5700000000006</v>
      </c>
      <c r="R30" s="58">
        <f>ROUND((+F30*17.5%),2)</f>
        <v>1709.05</v>
      </c>
      <c r="S30" s="58">
        <f>ROUND((+F30*2%),2)</f>
        <v>195.32</v>
      </c>
      <c r="T30" s="56">
        <f>ROUND((+F30*3%),2)+0.01</f>
        <v>292.99</v>
      </c>
      <c r="U30" s="71">
        <f>SUM(R30:T30)</f>
        <v>2197.3599999999997</v>
      </c>
      <c r="V30" s="10"/>
    </row>
    <row r="31" spans="1:22" s="6" customFormat="1" ht="30" customHeight="1">
      <c r="A31" s="70" t="s">
        <v>39</v>
      </c>
      <c r="B31" s="54" t="s">
        <v>40</v>
      </c>
      <c r="C31" s="55">
        <v>17</v>
      </c>
      <c r="D31" s="55">
        <v>15</v>
      </c>
      <c r="E31" s="56">
        <v>651.06666666666695</v>
      </c>
      <c r="F31" s="56">
        <f>D31*E31</f>
        <v>9766.0000000000036</v>
      </c>
      <c r="G31" s="56">
        <f>(857/30)*D31</f>
        <v>428.5</v>
      </c>
      <c r="H31" s="56">
        <f>(88.36/15)*D31</f>
        <v>88.36</v>
      </c>
      <c r="I31" s="57">
        <f>ROUND(SUM(F31:H31),2)</f>
        <v>10282.86</v>
      </c>
      <c r="J31" s="101">
        <v>1558.2</v>
      </c>
      <c r="K31" s="56"/>
      <c r="L31" s="56"/>
      <c r="M31" s="56">
        <f>ROUND((+F31*11.5%),2)</f>
        <v>1123.0899999999999</v>
      </c>
      <c r="N31" s="56"/>
      <c r="O31" s="56"/>
      <c r="P31" s="56">
        <f>SUM(J31:O31)</f>
        <v>2681.29</v>
      </c>
      <c r="Q31" s="132">
        <f>+I31-P31</f>
        <v>7601.5700000000006</v>
      </c>
      <c r="R31" s="58">
        <f>ROUND((+F31*17.5%),2)</f>
        <v>1709.05</v>
      </c>
      <c r="S31" s="58">
        <f>ROUND((+F31*2%),2)</f>
        <v>195.32</v>
      </c>
      <c r="T31" s="56">
        <f>ROUND((+F31*3%),2)+0.01</f>
        <v>292.99</v>
      </c>
      <c r="U31" s="71">
        <f>SUM(R31:T31)</f>
        <v>2197.3599999999997</v>
      </c>
      <c r="V31" s="10"/>
    </row>
    <row r="32" spans="1:22" s="6" customFormat="1" ht="30" customHeight="1">
      <c r="A32" s="70" t="s">
        <v>102</v>
      </c>
      <c r="B32" s="54" t="s">
        <v>103</v>
      </c>
      <c r="C32" s="55">
        <v>17</v>
      </c>
      <c r="D32" s="55">
        <v>15</v>
      </c>
      <c r="E32" s="56">
        <v>651.06666666666695</v>
      </c>
      <c r="F32" s="56">
        <f>D32*E32</f>
        <v>9766.0000000000036</v>
      </c>
      <c r="G32" s="56">
        <f>(857/30)*D32</f>
        <v>428.5</v>
      </c>
      <c r="H32" s="56"/>
      <c r="I32" s="57">
        <f>ROUND(SUM(F32:H32),2)</f>
        <v>10194.5</v>
      </c>
      <c r="J32" s="101">
        <v>1539.33</v>
      </c>
      <c r="K32" s="56"/>
      <c r="L32" s="56"/>
      <c r="M32" s="56">
        <f>ROUND((+F32*11.5%),2)</f>
        <v>1123.0899999999999</v>
      </c>
      <c r="N32" s="56"/>
      <c r="O32" s="56"/>
      <c r="P32" s="56">
        <f>SUM(J32:O32)</f>
        <v>2662.42</v>
      </c>
      <c r="Q32" s="132">
        <f>+I32-P32</f>
        <v>7532.08</v>
      </c>
      <c r="R32" s="58">
        <f>ROUND((+F32*17.5%),2)</f>
        <v>1709.05</v>
      </c>
      <c r="S32" s="58">
        <f>ROUND((+F32*2%),2)</f>
        <v>195.32</v>
      </c>
      <c r="T32" s="56">
        <f>ROUND((+F32*3%),2)+0.01</f>
        <v>292.99</v>
      </c>
      <c r="U32" s="71">
        <f>SUM(R32:T32)</f>
        <v>2197.3599999999997</v>
      </c>
      <c r="V32" s="10"/>
    </row>
    <row r="33" spans="1:22" s="22" customFormat="1" ht="17" thickBot="1">
      <c r="A33" s="72"/>
      <c r="B33" s="73" t="s">
        <v>21</v>
      </c>
      <c r="C33" s="74"/>
      <c r="D33" s="74"/>
      <c r="E33" s="75"/>
      <c r="F33" s="75">
        <f>SUM(F29:F32)</f>
        <v>44739.499999999956</v>
      </c>
      <c r="G33" s="75">
        <f>SUM(G29:G32)</f>
        <v>1852</v>
      </c>
      <c r="H33" s="75">
        <f t="shared" ref="H33:U33" si="3">SUM(H29:H32)</f>
        <v>309.26</v>
      </c>
      <c r="I33" s="79">
        <f>SUM(I29:I32)</f>
        <v>46900.76</v>
      </c>
      <c r="J33" s="75">
        <f>SUM(J29:J32)</f>
        <v>7555.61</v>
      </c>
      <c r="K33" s="75">
        <f t="shared" ref="K33" si="4">SUM(K29:K32)</f>
        <v>0</v>
      </c>
      <c r="L33" s="75">
        <f t="shared" si="3"/>
        <v>0</v>
      </c>
      <c r="M33" s="75">
        <f t="shared" si="3"/>
        <v>5145.04</v>
      </c>
      <c r="N33" s="75">
        <f t="shared" si="3"/>
        <v>0</v>
      </c>
      <c r="O33" s="75">
        <f t="shared" si="3"/>
        <v>8110.6799999999994</v>
      </c>
      <c r="P33" s="75">
        <f t="shared" si="3"/>
        <v>20811.330000000002</v>
      </c>
      <c r="Q33" s="76">
        <f t="shared" si="3"/>
        <v>26089.43</v>
      </c>
      <c r="R33" s="75">
        <f>SUM(R29:R32)+0</f>
        <v>7829.4100000000008</v>
      </c>
      <c r="S33" s="75">
        <f t="shared" si="3"/>
        <v>894.79</v>
      </c>
      <c r="T33" s="75">
        <f t="shared" si="3"/>
        <v>1342.21</v>
      </c>
      <c r="U33" s="77">
        <f t="shared" si="3"/>
        <v>10066.41</v>
      </c>
      <c r="V33" s="21"/>
    </row>
    <row r="34" spans="1:22" s="22" customFormat="1" ht="20.149999999999999" customHeight="1" thickTop="1">
      <c r="A34" s="23"/>
      <c r="B34" s="24"/>
      <c r="C34" s="25"/>
      <c r="D34" s="25"/>
      <c r="E34" s="21"/>
      <c r="F34" s="21"/>
      <c r="G34" s="21"/>
      <c r="H34" s="21"/>
      <c r="I34" s="26"/>
      <c r="J34" s="21"/>
      <c r="K34" s="21"/>
      <c r="L34" s="21"/>
      <c r="M34" s="21"/>
      <c r="N34" s="21"/>
      <c r="O34" s="21"/>
      <c r="P34" s="21"/>
      <c r="Q34" s="27"/>
      <c r="R34" s="28"/>
      <c r="S34" s="28"/>
      <c r="T34" s="21"/>
      <c r="U34" s="21"/>
      <c r="V34" s="21"/>
    </row>
    <row r="35" spans="1:22" s="6" customFormat="1" ht="16" thickBot="1">
      <c r="A35" s="5"/>
      <c r="B35" s="59" t="s">
        <v>41</v>
      </c>
      <c r="I35" s="7"/>
      <c r="Q35" s="8"/>
      <c r="R35" s="9"/>
      <c r="S35" s="9"/>
    </row>
    <row r="36" spans="1:22" s="6" customFormat="1" ht="31.5" customHeight="1" thickTop="1">
      <c r="A36" s="63" t="s">
        <v>42</v>
      </c>
      <c r="B36" s="64" t="s">
        <v>43</v>
      </c>
      <c r="C36" s="65">
        <v>21</v>
      </c>
      <c r="D36" s="65">
        <v>15</v>
      </c>
      <c r="E36" s="66">
        <v>1029.43333333333</v>
      </c>
      <c r="F36" s="66">
        <f>D36*E36</f>
        <v>15441.499999999949</v>
      </c>
      <c r="G36" s="66">
        <f>(1133/30)*D36</f>
        <v>566.5</v>
      </c>
      <c r="H36" s="66">
        <f>((88.36*1.5)/15)*D36</f>
        <v>132.54</v>
      </c>
      <c r="I36" s="67">
        <f>ROUND(SUM(F36:H36),2)</f>
        <v>16140.54</v>
      </c>
      <c r="J36" s="144">
        <v>2899.88</v>
      </c>
      <c r="K36" s="66"/>
      <c r="L36" s="66"/>
      <c r="M36" s="66">
        <f>ROUND((+F36*11.5%),2)</f>
        <v>1775.77</v>
      </c>
      <c r="N36" s="66"/>
      <c r="O36" s="66">
        <v>929.29</v>
      </c>
      <c r="P36" s="66">
        <f>SUM(J36:O36)</f>
        <v>5604.94</v>
      </c>
      <c r="Q36" s="148">
        <f>+I36-P36</f>
        <v>10535.600000000002</v>
      </c>
      <c r="R36" s="68">
        <f>ROUND((+F36*17.5%),2)</f>
        <v>2702.26</v>
      </c>
      <c r="S36" s="68">
        <f>ROUND((+F36*2%),2)</f>
        <v>308.83</v>
      </c>
      <c r="T36" s="66">
        <f>ROUND((+F36*3%),2)</f>
        <v>463.24</v>
      </c>
      <c r="U36" s="69">
        <f>SUM(R36:T36)</f>
        <v>3474.33</v>
      </c>
      <c r="V36" s="10"/>
    </row>
    <row r="37" spans="1:22" s="6" customFormat="1" ht="17" thickBot="1">
      <c r="A37" s="72"/>
      <c r="B37" s="78" t="s">
        <v>21</v>
      </c>
      <c r="C37" s="78"/>
      <c r="D37" s="78"/>
      <c r="E37" s="78"/>
      <c r="F37" s="75">
        <f>+F36</f>
        <v>15441.499999999949</v>
      </c>
      <c r="G37" s="75">
        <f>+G36</f>
        <v>566.5</v>
      </c>
      <c r="H37" s="75">
        <f>SUM(H35:H36)</f>
        <v>132.54</v>
      </c>
      <c r="I37" s="79">
        <f t="shared" ref="I37:U37" si="5">+I36</f>
        <v>16140.54</v>
      </c>
      <c r="J37" s="75">
        <f t="shared" si="5"/>
        <v>2899.88</v>
      </c>
      <c r="K37" s="75">
        <f t="shared" si="5"/>
        <v>0</v>
      </c>
      <c r="L37" s="75">
        <f t="shared" si="5"/>
        <v>0</v>
      </c>
      <c r="M37" s="75">
        <f>+M36</f>
        <v>1775.77</v>
      </c>
      <c r="N37" s="75">
        <f>+N36</f>
        <v>0</v>
      </c>
      <c r="O37" s="75">
        <f t="shared" si="5"/>
        <v>929.29</v>
      </c>
      <c r="P37" s="75">
        <f t="shared" si="5"/>
        <v>5604.94</v>
      </c>
      <c r="Q37" s="76">
        <f t="shared" si="5"/>
        <v>10535.600000000002</v>
      </c>
      <c r="R37" s="75">
        <f t="shared" si="5"/>
        <v>2702.26</v>
      </c>
      <c r="S37" s="75">
        <f t="shared" si="5"/>
        <v>308.83</v>
      </c>
      <c r="T37" s="75">
        <f t="shared" si="5"/>
        <v>463.24</v>
      </c>
      <c r="U37" s="77">
        <f t="shared" si="5"/>
        <v>3474.33</v>
      </c>
    </row>
    <row r="38" spans="1:22" s="6" customFormat="1" ht="16" thickTop="1">
      <c r="A38" s="5"/>
      <c r="I38" s="7"/>
      <c r="Q38" s="8"/>
      <c r="R38" s="9"/>
      <c r="S38" s="9"/>
    </row>
    <row r="39" spans="1:22" s="6" customFormat="1" ht="15.5">
      <c r="A39" s="5"/>
      <c r="D39" s="29"/>
      <c r="E39" s="10"/>
      <c r="F39" s="10"/>
      <c r="G39" s="10"/>
      <c r="H39" s="10"/>
      <c r="I39" s="30"/>
      <c r="J39" s="10"/>
      <c r="K39" s="10"/>
      <c r="L39" s="10"/>
      <c r="M39" s="10"/>
      <c r="N39" s="10"/>
      <c r="O39" s="10"/>
      <c r="P39" s="10"/>
      <c r="Q39" s="8"/>
      <c r="R39" s="9"/>
      <c r="S39" s="9"/>
      <c r="T39" s="10"/>
      <c r="U39" s="10"/>
      <c r="V39" s="10"/>
    </row>
    <row r="40" spans="1:22" s="4" customFormat="1" ht="15.5">
      <c r="A40" s="31"/>
      <c r="B40" s="32"/>
      <c r="D40" s="33"/>
      <c r="E40" s="34" t="s">
        <v>44</v>
      </c>
      <c r="F40" s="35">
        <f>+F12+F20+F33+F26+F37</f>
        <v>157136.74999999985</v>
      </c>
      <c r="G40" s="35">
        <f>+G12+G20+G33+G26+G37</f>
        <v>6146.07</v>
      </c>
      <c r="H40" s="35">
        <f>+H12+H20+H33+H26+H37+0</f>
        <v>971.95999999999992</v>
      </c>
      <c r="I40" s="35">
        <f>+I12+I20+I33+I26+I37-0</f>
        <v>164254.78000000003</v>
      </c>
      <c r="J40" s="35">
        <f>+J12+J20+J33+J26+J37</f>
        <v>27678.58</v>
      </c>
      <c r="K40" s="35">
        <f>+K12+K20+K33+K26+K37</f>
        <v>0</v>
      </c>
      <c r="L40" s="35">
        <f>+L12+L20+L33+L26+L37</f>
        <v>0</v>
      </c>
      <c r="M40" s="145">
        <f>+M12+M20+M33+M26+M37+0</f>
        <v>18070.740000000002</v>
      </c>
      <c r="N40" s="145">
        <f>+N12+N20+N33+N26+N37</f>
        <v>78.459999999999994</v>
      </c>
      <c r="O40" s="145">
        <f>+O12+O20+O33+O26+O37</f>
        <v>11394.5</v>
      </c>
      <c r="P40" s="145">
        <f>+P12+P20+P33+P26+P37</f>
        <v>57222.28</v>
      </c>
      <c r="Q40" s="146">
        <f>+Q12+Q20+Q33+Q26+Q37</f>
        <v>107032.50000000003</v>
      </c>
      <c r="R40" s="145">
        <f>+R12+R20+R33+R26+R37+0</f>
        <v>27498.940000000002</v>
      </c>
      <c r="S40" s="145">
        <f>+S12+S20+S33+S26+S37+0</f>
        <v>3142.74</v>
      </c>
      <c r="T40" s="145">
        <f>+T12+T20+T33+T26+T37</f>
        <v>4714.1400000000003</v>
      </c>
      <c r="U40" s="35">
        <f>+U12+U20+U33+U26+U37</f>
        <v>35355.82</v>
      </c>
      <c r="V40" s="37"/>
    </row>
    <row r="41" spans="1:22" s="6" customFormat="1" ht="20.149999999999999" customHeight="1">
      <c r="A41" s="5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9"/>
      <c r="R41" s="9"/>
      <c r="S41" s="9"/>
      <c r="T41" s="10"/>
      <c r="U41" s="10"/>
      <c r="V41" s="10"/>
    </row>
    <row r="42" spans="1:22" s="6" customFormat="1" ht="15.5">
      <c r="A42" s="5"/>
      <c r="B42" s="6" t="s">
        <v>106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30" t="s">
        <v>46</v>
      </c>
      <c r="Q42" s="9">
        <f>+Q40</f>
        <v>107032.50000000003</v>
      </c>
      <c r="R42" s="9"/>
      <c r="S42" s="9"/>
      <c r="T42" s="10"/>
      <c r="U42" s="10"/>
      <c r="V42" s="10"/>
    </row>
    <row r="43" spans="1:22" s="6" customFormat="1" ht="15.5">
      <c r="A43" s="5"/>
      <c r="B43" s="6" t="s">
        <v>107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30" t="s">
        <v>48</v>
      </c>
      <c r="Q43" s="38">
        <v>0</v>
      </c>
      <c r="R43" s="9"/>
      <c r="S43" s="9"/>
      <c r="T43" s="10"/>
      <c r="U43" s="10"/>
      <c r="V43" s="10"/>
    </row>
    <row r="44" spans="1:22" s="6" customFormat="1" ht="15.5">
      <c r="A44" s="5"/>
      <c r="B44" s="6" t="s">
        <v>49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30" t="s">
        <v>6</v>
      </c>
      <c r="Q44" s="9">
        <f>+Q42+Q43</f>
        <v>107032.50000000003</v>
      </c>
      <c r="R44" s="9"/>
      <c r="S44" s="9"/>
      <c r="T44" s="10"/>
      <c r="U44" s="10"/>
      <c r="V44" s="10"/>
    </row>
    <row r="45" spans="1:22" s="6" customFormat="1" ht="15.5">
      <c r="A45" s="5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9"/>
      <c r="R45" s="9"/>
      <c r="S45" s="9"/>
      <c r="T45" s="10"/>
      <c r="U45" s="10"/>
      <c r="V45" s="10"/>
    </row>
    <row r="46" spans="1:22" s="6" customFormat="1" ht="15.5">
      <c r="A46" s="5"/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33"/>
      <c r="O46" s="10"/>
      <c r="P46" s="10"/>
      <c r="Q46" s="9"/>
      <c r="R46" s="9"/>
      <c r="S46" s="9"/>
      <c r="T46" s="10"/>
      <c r="U46" s="10"/>
      <c r="V46" s="10"/>
    </row>
    <row r="47" spans="1:22" s="6" customFormat="1" ht="15.5">
      <c r="A47" s="5"/>
      <c r="E47" s="10"/>
      <c r="F47" s="10"/>
      <c r="G47" s="10"/>
      <c r="H47" s="10"/>
      <c r="I47" s="135"/>
      <c r="J47" s="10"/>
      <c r="K47" s="10"/>
      <c r="L47" s="10"/>
      <c r="M47" s="10"/>
      <c r="N47" s="10"/>
      <c r="O47" s="10"/>
      <c r="P47" s="39"/>
      <c r="Q47" s="9"/>
      <c r="R47" s="9"/>
      <c r="S47" s="10"/>
      <c r="T47" s="10"/>
      <c r="U47" s="10"/>
    </row>
    <row r="48" spans="1:22" s="6" customFormat="1" ht="15.5">
      <c r="A48" s="5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39"/>
      <c r="Q48" s="9"/>
      <c r="R48" s="9"/>
      <c r="S48" s="10"/>
      <c r="T48" s="10"/>
      <c r="U48" s="10"/>
    </row>
    <row r="49" spans="1:21" s="6" customFormat="1" ht="15.5">
      <c r="A49" s="5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39"/>
      <c r="Q49" s="9"/>
      <c r="R49" s="9"/>
      <c r="S49" s="10"/>
      <c r="T49" s="10"/>
      <c r="U49" s="10"/>
    </row>
    <row r="50" spans="1:21" s="6" customFormat="1" ht="15.5">
      <c r="B50" s="22"/>
      <c r="C50" s="40"/>
      <c r="D50" s="41"/>
      <c r="E50" s="42"/>
      <c r="F50" s="42"/>
      <c r="G50" s="41"/>
      <c r="I50" s="199"/>
      <c r="J50" s="199"/>
      <c r="K50" s="199"/>
      <c r="L50" s="199"/>
      <c r="M50" s="199"/>
      <c r="N50" s="21"/>
      <c r="O50" s="21"/>
      <c r="P50" s="199"/>
      <c r="Q50" s="199"/>
      <c r="R50" s="199"/>
      <c r="S50" s="199"/>
      <c r="T50" s="10"/>
      <c r="U50" s="10"/>
    </row>
    <row r="51" spans="1:21" s="6" customFormat="1" ht="15.5">
      <c r="B51" s="43"/>
      <c r="C51" s="208" t="s">
        <v>50</v>
      </c>
      <c r="D51" s="208"/>
      <c r="E51" s="208"/>
      <c r="F51" s="208"/>
      <c r="G51" s="208"/>
      <c r="I51" s="206" t="s">
        <v>51</v>
      </c>
      <c r="J51" s="206"/>
      <c r="K51" s="206"/>
      <c r="L51" s="206"/>
      <c r="M51" s="206"/>
      <c r="N51" s="44"/>
      <c r="O51" s="44"/>
      <c r="P51" s="200" t="s">
        <v>52</v>
      </c>
      <c r="Q51" s="200"/>
      <c r="R51" s="200"/>
      <c r="S51" s="200"/>
      <c r="T51" s="10"/>
      <c r="U51" s="10"/>
    </row>
    <row r="52" spans="1:21" s="6" customFormat="1" ht="15.5">
      <c r="B52" s="45"/>
      <c r="C52" s="209" t="s">
        <v>53</v>
      </c>
      <c r="D52" s="209"/>
      <c r="E52" s="209"/>
      <c r="F52" s="209"/>
      <c r="G52" s="209"/>
      <c r="I52" s="201" t="s">
        <v>54</v>
      </c>
      <c r="J52" s="201"/>
      <c r="K52" s="201"/>
      <c r="L52" s="201"/>
      <c r="M52" s="201"/>
      <c r="N52" s="44"/>
      <c r="O52" s="44"/>
      <c r="P52" s="201" t="s">
        <v>55</v>
      </c>
      <c r="Q52" s="201"/>
      <c r="R52" s="201"/>
      <c r="S52" s="201"/>
      <c r="T52" s="10"/>
      <c r="U52" s="10"/>
    </row>
    <row r="53" spans="1:21" s="6" customFormat="1" ht="15.5">
      <c r="B53" s="45"/>
      <c r="C53" s="209" t="s">
        <v>56</v>
      </c>
      <c r="D53" s="209"/>
      <c r="E53" s="209"/>
      <c r="F53" s="209"/>
      <c r="G53" s="209"/>
      <c r="I53" s="201" t="s">
        <v>57</v>
      </c>
      <c r="J53" s="201"/>
      <c r="K53" s="201"/>
      <c r="L53" s="201"/>
      <c r="M53" s="201"/>
      <c r="N53" s="44"/>
      <c r="O53" s="44"/>
      <c r="P53" s="201" t="s">
        <v>58</v>
      </c>
      <c r="Q53" s="201"/>
      <c r="R53" s="201"/>
      <c r="S53" s="201"/>
    </row>
    <row r="57" spans="1:21">
      <c r="H57" s="141"/>
    </row>
  </sheetData>
  <mergeCells count="25">
    <mergeCell ref="C1:Q1"/>
    <mergeCell ref="C3:Q3"/>
    <mergeCell ref="C4:Q4"/>
    <mergeCell ref="R6:U6"/>
    <mergeCell ref="E8:F8"/>
    <mergeCell ref="J8:P8"/>
    <mergeCell ref="Q8:Q9"/>
    <mergeCell ref="R8:T8"/>
    <mergeCell ref="G8:H8"/>
    <mergeCell ref="P50:S50"/>
    <mergeCell ref="P51:S51"/>
    <mergeCell ref="P52:S52"/>
    <mergeCell ref="P53:S53"/>
    <mergeCell ref="A8:A9"/>
    <mergeCell ref="C8:C9"/>
    <mergeCell ref="D8:D9"/>
    <mergeCell ref="I50:M50"/>
    <mergeCell ref="I51:M51"/>
    <mergeCell ref="B46:M46"/>
    <mergeCell ref="C51:G51"/>
    <mergeCell ref="C52:G52"/>
    <mergeCell ref="C53:G53"/>
    <mergeCell ref="B8:B9"/>
    <mergeCell ref="I52:M52"/>
    <mergeCell ref="I53:M5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4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2"/>
  <sheetViews>
    <sheetView showGridLines="0" topLeftCell="A19" zoomScale="59" zoomScaleNormal="59" workbookViewId="0">
      <selection activeCell="O41" sqref="O41"/>
    </sheetView>
  </sheetViews>
  <sheetFormatPr baseColWidth="10" defaultRowHeight="14.5"/>
  <cols>
    <col min="1" max="1" width="7.08984375" customWidth="1"/>
    <col min="2" max="2" width="39.90625" customWidth="1"/>
    <col min="3" max="3" width="8.36328125" customWidth="1"/>
    <col min="4" max="4" width="6.6328125" customWidth="1"/>
    <col min="5" max="5" width="11" customWidth="1"/>
    <col min="6" max="6" width="14.54296875" customWidth="1"/>
    <col min="7" max="7" width="15.90625" customWidth="1"/>
    <col min="8" max="8" width="15.81640625" customWidth="1"/>
    <col min="9" max="9" width="19.08984375" customWidth="1"/>
    <col min="10" max="10" width="12.54296875" customWidth="1"/>
    <col min="11" max="11" width="14.453125" hidden="1" customWidth="1"/>
    <col min="12" max="12" width="11.54296875" hidden="1" customWidth="1"/>
    <col min="13" max="13" width="15.6328125" customWidth="1"/>
    <col min="14" max="14" width="13.08984375" customWidth="1"/>
    <col min="15" max="15" width="14.08984375" customWidth="1"/>
    <col min="16" max="16" width="13.08984375" customWidth="1"/>
    <col min="17" max="17" width="12.81640625" customWidth="1"/>
    <col min="18" max="18" width="13.08984375" customWidth="1"/>
    <col min="20" max="20" width="12.6328125" customWidth="1"/>
    <col min="21" max="21" width="13.90625" customWidth="1"/>
  </cols>
  <sheetData>
    <row r="1" spans="1:30" s="2" customFormat="1" ht="27.5">
      <c r="A1" s="1"/>
      <c r="C1" s="210" t="s">
        <v>0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3"/>
      <c r="S1" s="3"/>
    </row>
    <row r="2" spans="1:30" s="2" customFormat="1" ht="5.15" customHeight="1">
      <c r="A2" s="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  <c r="R2" s="3"/>
      <c r="S2" s="3"/>
    </row>
    <row r="3" spans="1:30" s="2" customFormat="1" ht="20">
      <c r="A3" s="1"/>
      <c r="C3" s="211" t="s">
        <v>110</v>
      </c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3"/>
      <c r="S3" s="3"/>
    </row>
    <row r="4" spans="1:30" s="2" customFormat="1" ht="20">
      <c r="A4" s="1"/>
      <c r="C4" s="211" t="s">
        <v>111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3"/>
      <c r="S4" s="3"/>
    </row>
    <row r="5" spans="1:30" s="2" customFormat="1" ht="12.5">
      <c r="A5" s="1"/>
      <c r="Q5" s="3"/>
      <c r="R5" s="3"/>
      <c r="S5" s="3"/>
    </row>
    <row r="6" spans="1:30" s="2" customFormat="1" ht="12.5">
      <c r="A6" s="1"/>
      <c r="Q6" s="3"/>
      <c r="R6" s="212" t="s">
        <v>1</v>
      </c>
      <c r="S6" s="212"/>
      <c r="T6" s="212"/>
      <c r="U6" s="212"/>
    </row>
    <row r="7" spans="1:30" s="2" customFormat="1" ht="12.5">
      <c r="A7" s="1"/>
      <c r="Q7" s="3"/>
      <c r="R7" s="3"/>
      <c r="S7" s="3"/>
    </row>
    <row r="8" spans="1:30" s="4" customFormat="1" ht="20.149999999999999" customHeight="1">
      <c r="A8" s="202" t="s">
        <v>59</v>
      </c>
      <c r="B8" s="204" t="s">
        <v>7</v>
      </c>
      <c r="C8" s="204" t="s">
        <v>8</v>
      </c>
      <c r="D8" s="204" t="s">
        <v>9</v>
      </c>
      <c r="E8" s="213" t="s">
        <v>2</v>
      </c>
      <c r="F8" s="213"/>
      <c r="G8" s="214" t="s">
        <v>3</v>
      </c>
      <c r="H8" s="215"/>
      <c r="I8" s="166" t="s">
        <v>4</v>
      </c>
      <c r="J8" s="214" t="s">
        <v>5</v>
      </c>
      <c r="K8" s="215"/>
      <c r="L8" s="215"/>
      <c r="M8" s="215"/>
      <c r="N8" s="215"/>
      <c r="O8" s="215"/>
      <c r="P8" s="216"/>
      <c r="Q8" s="217" t="s">
        <v>63</v>
      </c>
      <c r="R8" s="219" t="s">
        <v>60</v>
      </c>
      <c r="S8" s="220"/>
      <c r="T8" s="221"/>
      <c r="U8" s="162" t="s">
        <v>6</v>
      </c>
    </row>
    <row r="9" spans="1:30" s="4" customFormat="1" ht="42" customHeight="1">
      <c r="A9" s="203"/>
      <c r="B9" s="205"/>
      <c r="C9" s="205"/>
      <c r="D9" s="205"/>
      <c r="E9" s="166" t="s">
        <v>10</v>
      </c>
      <c r="F9" s="48" t="s">
        <v>11</v>
      </c>
      <c r="G9" s="48" t="s">
        <v>12</v>
      </c>
      <c r="H9" s="166" t="s">
        <v>13</v>
      </c>
      <c r="I9" s="49" t="s">
        <v>14</v>
      </c>
      <c r="J9" s="166" t="s">
        <v>64</v>
      </c>
      <c r="K9" s="167" t="s">
        <v>93</v>
      </c>
      <c r="L9" s="53" t="s">
        <v>15</v>
      </c>
      <c r="M9" s="166" t="s">
        <v>74</v>
      </c>
      <c r="N9" s="166" t="s">
        <v>76</v>
      </c>
      <c r="O9" s="115" t="s">
        <v>77</v>
      </c>
      <c r="P9" s="166" t="s">
        <v>16</v>
      </c>
      <c r="Q9" s="218"/>
      <c r="R9" s="50" t="s">
        <v>80</v>
      </c>
      <c r="S9" s="51" t="s">
        <v>61</v>
      </c>
      <c r="T9" s="51" t="s">
        <v>62</v>
      </c>
      <c r="U9" s="52" t="s">
        <v>17</v>
      </c>
    </row>
    <row r="10" spans="1:30" s="6" customFormat="1" ht="36.75" customHeight="1" thickBot="1">
      <c r="A10" s="5"/>
      <c r="B10" s="59" t="s">
        <v>95</v>
      </c>
      <c r="I10" s="7"/>
      <c r="Q10" s="8"/>
      <c r="R10" s="9"/>
      <c r="S10" s="9"/>
      <c r="AD10" s="6">
        <v>15000</v>
      </c>
    </row>
    <row r="11" spans="1:30" s="6" customFormat="1" ht="30" customHeight="1" thickTop="1">
      <c r="A11" s="63" t="s">
        <v>19</v>
      </c>
      <c r="B11" s="64" t="s">
        <v>20</v>
      </c>
      <c r="C11" s="65">
        <v>27</v>
      </c>
      <c r="D11" s="65">
        <v>15</v>
      </c>
      <c r="E11" s="66">
        <f>58759/30</f>
        <v>1958.6333333333334</v>
      </c>
      <c r="F11" s="66">
        <f>D11*E11</f>
        <v>29379.5</v>
      </c>
      <c r="G11" s="66">
        <f>(1617/30)*D11</f>
        <v>808.5</v>
      </c>
      <c r="H11" s="66">
        <f>(88.36/15)*D11</f>
        <v>88.36</v>
      </c>
      <c r="I11" s="67">
        <f>ROUND(SUM(F11:H11),2)</f>
        <v>30276.36</v>
      </c>
      <c r="J11" s="144">
        <v>6965.85</v>
      </c>
      <c r="K11" s="66"/>
      <c r="L11" s="66"/>
      <c r="M11" s="66">
        <f>ROUND((+F11*11.5%),2)</f>
        <v>3378.64</v>
      </c>
      <c r="N11" s="66"/>
      <c r="O11" s="66"/>
      <c r="P11" s="66">
        <f>SUM(J11:O11)</f>
        <v>10344.49</v>
      </c>
      <c r="Q11" s="148">
        <f>+I11-P11</f>
        <v>19931.870000000003</v>
      </c>
      <c r="R11" s="68">
        <f>ROUND((+F11*17.5%),2)</f>
        <v>5141.41</v>
      </c>
      <c r="S11" s="68">
        <f>ROUND((7.3412*80.04),2)</f>
        <v>587.59</v>
      </c>
      <c r="T11" s="66">
        <f>ROUND((+F11*3%),2)+0</f>
        <v>881.39</v>
      </c>
      <c r="U11" s="69">
        <f>SUM(R11:T11)</f>
        <v>6610.39</v>
      </c>
      <c r="V11" s="10"/>
    </row>
    <row r="12" spans="1:30" s="6" customFormat="1" ht="16" thickBot="1">
      <c r="A12" s="72"/>
      <c r="B12" s="78" t="s">
        <v>21</v>
      </c>
      <c r="C12" s="78"/>
      <c r="D12" s="78"/>
      <c r="E12" s="78"/>
      <c r="F12" s="75">
        <f t="shared" ref="F12:T12" si="0">SUM(F11:F11)</f>
        <v>29379.5</v>
      </c>
      <c r="G12" s="75">
        <f t="shared" si="0"/>
        <v>808.5</v>
      </c>
      <c r="H12" s="75">
        <f t="shared" si="0"/>
        <v>88.36</v>
      </c>
      <c r="I12" s="75">
        <f t="shared" si="0"/>
        <v>30276.36</v>
      </c>
      <c r="J12" s="75">
        <f t="shared" si="0"/>
        <v>6965.85</v>
      </c>
      <c r="K12" s="75">
        <f t="shared" si="0"/>
        <v>0</v>
      </c>
      <c r="L12" s="75">
        <f t="shared" si="0"/>
        <v>0</v>
      </c>
      <c r="M12" s="75">
        <f t="shared" si="0"/>
        <v>3378.64</v>
      </c>
      <c r="N12" s="75">
        <f t="shared" si="0"/>
        <v>0</v>
      </c>
      <c r="O12" s="75">
        <f t="shared" si="0"/>
        <v>0</v>
      </c>
      <c r="P12" s="75">
        <f t="shared" si="0"/>
        <v>10344.49</v>
      </c>
      <c r="Q12" s="75">
        <f t="shared" si="0"/>
        <v>19931.870000000003</v>
      </c>
      <c r="R12" s="75">
        <f t="shared" si="0"/>
        <v>5141.41</v>
      </c>
      <c r="S12" s="75">
        <f t="shared" si="0"/>
        <v>587.59</v>
      </c>
      <c r="T12" s="75">
        <f t="shared" si="0"/>
        <v>881.39</v>
      </c>
      <c r="U12" s="77">
        <f>+U11</f>
        <v>6610.39</v>
      </c>
    </row>
    <row r="13" spans="1:30" s="20" customFormat="1" ht="36.75" customHeight="1" thickTop="1">
      <c r="A13" s="11"/>
      <c r="B13" s="60" t="s">
        <v>94</v>
      </c>
      <c r="C13" s="12"/>
      <c r="D13" s="12"/>
      <c r="E13" s="13"/>
      <c r="F13" s="13"/>
      <c r="G13" s="13"/>
      <c r="H13" s="13"/>
      <c r="I13" s="14"/>
      <c r="J13" s="12"/>
      <c r="K13" s="12"/>
      <c r="L13" s="15"/>
      <c r="M13" s="13"/>
      <c r="N13" s="13"/>
      <c r="O13" s="15"/>
      <c r="P13" s="16"/>
      <c r="Q13" s="17"/>
      <c r="R13" s="18"/>
      <c r="S13" s="19"/>
      <c r="T13" s="13"/>
      <c r="U13" s="15"/>
    </row>
    <row r="14" spans="1:30" s="2" customFormat="1" ht="3.75" customHeight="1" thickBot="1">
      <c r="A14" s="1"/>
      <c r="Q14" s="3"/>
      <c r="R14" s="3"/>
      <c r="S14" s="3"/>
    </row>
    <row r="15" spans="1:30" s="6" customFormat="1" ht="30" customHeight="1" thickTop="1">
      <c r="A15" s="63" t="s">
        <v>23</v>
      </c>
      <c r="B15" s="64" t="s">
        <v>24</v>
      </c>
      <c r="C15" s="65">
        <v>19</v>
      </c>
      <c r="D15" s="65">
        <v>15</v>
      </c>
      <c r="E15" s="66">
        <v>817.76666666666699</v>
      </c>
      <c r="F15" s="66">
        <f>+D15*E15</f>
        <v>12266.500000000005</v>
      </c>
      <c r="G15" s="66">
        <f>(1016/30)*D15</f>
        <v>508</v>
      </c>
      <c r="H15" s="66">
        <f>(88.36/15)*D15</f>
        <v>88.36</v>
      </c>
      <c r="I15" s="67">
        <f>ROUND(SUM(F15:H15),2)</f>
        <v>12862.86</v>
      </c>
      <c r="J15" s="144">
        <v>2128.9699999999998</v>
      </c>
      <c r="K15" s="66"/>
      <c r="L15" s="66"/>
      <c r="M15" s="66">
        <f>ROUND((+F15*11.5%),2)</f>
        <v>1410.65</v>
      </c>
      <c r="N15" s="66"/>
      <c r="O15" s="66"/>
      <c r="P15" s="66">
        <f>SUM(J15:O15)</f>
        <v>3539.62</v>
      </c>
      <c r="Q15" s="148">
        <f>+I15-P15</f>
        <v>9323.2400000000016</v>
      </c>
      <c r="R15" s="68">
        <f>ROUND((+F15*17.5%),2)</f>
        <v>2146.64</v>
      </c>
      <c r="S15" s="68">
        <f>ROUND((+F15*2%),2)</f>
        <v>245.33</v>
      </c>
      <c r="T15" s="66">
        <f>ROUND((+F15*3%),2)</f>
        <v>368</v>
      </c>
      <c r="U15" s="69">
        <f>SUM(R15:T15)</f>
        <v>2759.97</v>
      </c>
      <c r="V15" s="10"/>
    </row>
    <row r="16" spans="1:30" s="6" customFormat="1" ht="30" customHeight="1">
      <c r="A16" s="70" t="s">
        <v>25</v>
      </c>
      <c r="B16" s="54" t="s">
        <v>26</v>
      </c>
      <c r="C16" s="55">
        <v>16</v>
      </c>
      <c r="D16" s="55">
        <v>15</v>
      </c>
      <c r="E16" s="56">
        <v>573.76666666666699</v>
      </c>
      <c r="F16" s="56">
        <f>D16*E16</f>
        <v>8606.5000000000055</v>
      </c>
      <c r="G16" s="56">
        <f>(779/30)*D16</f>
        <v>389.5</v>
      </c>
      <c r="H16" s="56">
        <f>(88.36/15)*D16</f>
        <v>88.36</v>
      </c>
      <c r="I16" s="57">
        <f>ROUND(SUM(F16:H16),2)</f>
        <v>9084.36</v>
      </c>
      <c r="J16" s="101">
        <v>1302.2</v>
      </c>
      <c r="K16" s="56"/>
      <c r="L16" s="56"/>
      <c r="M16" s="56">
        <f>ROUND((+F16*11.5%),2)</f>
        <v>989.75</v>
      </c>
      <c r="N16" s="56"/>
      <c r="O16" s="101"/>
      <c r="P16" s="56">
        <f>SUM(J16:O16)</f>
        <v>2291.9499999999998</v>
      </c>
      <c r="Q16" s="132">
        <f>+I16-P16</f>
        <v>6792.4100000000008</v>
      </c>
      <c r="R16" s="58">
        <f>ROUND((+F16*17.5%),2)</f>
        <v>1506.14</v>
      </c>
      <c r="S16" s="58">
        <f>ROUND((+F16*2%),2)+0</f>
        <v>172.13</v>
      </c>
      <c r="T16" s="56">
        <f>ROUND((+F16*3%),2)</f>
        <v>258.2</v>
      </c>
      <c r="U16" s="71">
        <f>SUM(R16:T16)</f>
        <v>1936.47</v>
      </c>
      <c r="V16" s="10"/>
    </row>
    <row r="17" spans="1:22" s="136" customFormat="1" ht="30" customHeight="1">
      <c r="A17" s="128" t="s">
        <v>27</v>
      </c>
      <c r="B17" s="129" t="s">
        <v>28</v>
      </c>
      <c r="C17" s="130">
        <v>8</v>
      </c>
      <c r="D17" s="130">
        <v>15</v>
      </c>
      <c r="E17" s="101">
        <v>413.53333333333302</v>
      </c>
      <c r="F17" s="101">
        <f>D17*E17</f>
        <v>6202.9999999999955</v>
      </c>
      <c r="G17" s="101">
        <f>(645/30)*D17</f>
        <v>322.5</v>
      </c>
      <c r="H17" s="101"/>
      <c r="I17" s="131">
        <f>ROUND(SUM(F17:H17),2)</f>
        <v>6525.5</v>
      </c>
      <c r="J17" s="101">
        <v>755.63</v>
      </c>
      <c r="K17" s="101"/>
      <c r="L17" s="101"/>
      <c r="M17" s="101">
        <f>ROUND((+F17*11.5%),2)</f>
        <v>713.34</v>
      </c>
      <c r="N17" s="101"/>
      <c r="O17" s="101"/>
      <c r="P17" s="101">
        <f>SUM(J17:O17)</f>
        <v>1468.97</v>
      </c>
      <c r="Q17" s="132">
        <f>+I17-P17</f>
        <v>5056.53</v>
      </c>
      <c r="R17" s="133">
        <f>ROUND((+F17*17.5%),2)</f>
        <v>1085.53</v>
      </c>
      <c r="S17" s="133">
        <f>ROUND((+F17*2%),2)</f>
        <v>124.06</v>
      </c>
      <c r="T17" s="101">
        <f>ROUND((+F17*3%),2)-0</f>
        <v>186.09</v>
      </c>
      <c r="U17" s="134">
        <f>SUM(R17:T17)</f>
        <v>1395.6799999999998</v>
      </c>
      <c r="V17" s="135"/>
    </row>
    <row r="18" spans="1:22" s="136" customFormat="1" ht="30" customHeight="1">
      <c r="A18" s="128" t="s">
        <v>87</v>
      </c>
      <c r="B18" s="129" t="s">
        <v>88</v>
      </c>
      <c r="C18" s="130">
        <v>4</v>
      </c>
      <c r="D18" s="137">
        <v>15</v>
      </c>
      <c r="E18" s="101">
        <v>361.26666660000001</v>
      </c>
      <c r="F18" s="101">
        <f>ROUND((D18*E18),0)+0</f>
        <v>5419</v>
      </c>
      <c r="G18" s="101">
        <f>(482/30)*D18</f>
        <v>241</v>
      </c>
      <c r="H18" s="101"/>
      <c r="I18" s="131">
        <f>ROUND(SUM(F18:H18),2)</f>
        <v>5660</v>
      </c>
      <c r="J18" s="101">
        <v>579.91</v>
      </c>
      <c r="K18" s="101"/>
      <c r="L18" s="101"/>
      <c r="M18" s="101">
        <f>ROUND((+F18*11.5%),2)+0</f>
        <v>623.19000000000005</v>
      </c>
      <c r="N18" s="101">
        <f>ROUND((F18*0.01),2)</f>
        <v>54.19</v>
      </c>
      <c r="O18" s="101">
        <v>441.53</v>
      </c>
      <c r="P18" s="101">
        <f>SUM(J18:O18)</f>
        <v>1698.82</v>
      </c>
      <c r="Q18" s="132">
        <f>+I18-P18-0</f>
        <v>3961.1800000000003</v>
      </c>
      <c r="R18" s="133">
        <f>ROUND((+F18*17.5%),2)</f>
        <v>948.33</v>
      </c>
      <c r="S18" s="133">
        <f>ROUND((+F18*2%),2)</f>
        <v>108.38</v>
      </c>
      <c r="T18" s="101">
        <f>ROUND((+F18*3%),2)</f>
        <v>162.57</v>
      </c>
      <c r="U18" s="134">
        <f>SUM(R18:T18)</f>
        <v>1219.28</v>
      </c>
      <c r="V18" s="135"/>
    </row>
    <row r="19" spans="1:22" s="136" customFormat="1" ht="30" customHeight="1">
      <c r="A19" s="128" t="s">
        <v>29</v>
      </c>
      <c r="B19" s="129" t="s">
        <v>30</v>
      </c>
      <c r="C19" s="130">
        <v>1</v>
      </c>
      <c r="D19" s="130">
        <v>15</v>
      </c>
      <c r="E19" s="101">
        <v>161.78333333333299</v>
      </c>
      <c r="F19" s="101">
        <f>D19*E19</f>
        <v>2426.749999999995</v>
      </c>
      <c r="G19" s="101">
        <f>112.57</f>
        <v>112.57</v>
      </c>
      <c r="H19" s="101">
        <f>((88.36*1.5)/15)*D19</f>
        <v>132.54</v>
      </c>
      <c r="I19" s="131">
        <f>ROUND(SUM(F19:H19),2)</f>
        <v>2671.86</v>
      </c>
      <c r="J19" s="101">
        <v>23.99</v>
      </c>
      <c r="K19" s="101"/>
      <c r="L19" s="101">
        <v>0</v>
      </c>
      <c r="M19" s="101">
        <f>ROUND((+F19*11.5%),2)</f>
        <v>279.08</v>
      </c>
      <c r="N19" s="101">
        <f>ROUND((F19*0.01),2)</f>
        <v>24.27</v>
      </c>
      <c r="O19" s="101"/>
      <c r="P19" s="101">
        <f>SUM(J19:O19)</f>
        <v>327.33999999999997</v>
      </c>
      <c r="Q19" s="132">
        <f>+I19-P19</f>
        <v>2344.52</v>
      </c>
      <c r="R19" s="133">
        <f>ROUND((+F19*17.5%),2)</f>
        <v>424.68</v>
      </c>
      <c r="S19" s="133">
        <f>ROUND((+F19*2%),2)+0.01</f>
        <v>48.54</v>
      </c>
      <c r="T19" s="101">
        <f>ROUND((+F19*3%),2)</f>
        <v>72.8</v>
      </c>
      <c r="U19" s="134">
        <f>SUM(R19:T19)</f>
        <v>546.02</v>
      </c>
      <c r="V19" s="135"/>
    </row>
    <row r="20" spans="1:22" s="22" customFormat="1" ht="17" thickBot="1">
      <c r="A20" s="72"/>
      <c r="B20" s="73" t="s">
        <v>21</v>
      </c>
      <c r="C20" s="74"/>
      <c r="D20" s="74"/>
      <c r="E20" s="75"/>
      <c r="F20" s="75">
        <f>SUM(F15:F19)+0</f>
        <v>34921.75</v>
      </c>
      <c r="G20" s="75">
        <f t="shared" ref="G20:U20" si="1">SUM(G15:G19)</f>
        <v>1573.57</v>
      </c>
      <c r="H20" s="75">
        <f t="shared" si="1"/>
        <v>309.26</v>
      </c>
      <c r="I20" s="75">
        <f t="shared" si="1"/>
        <v>36804.58</v>
      </c>
      <c r="J20" s="75">
        <f>SUM(J15:J19)</f>
        <v>4790.7</v>
      </c>
      <c r="K20" s="88">
        <f t="shared" si="1"/>
        <v>0</v>
      </c>
      <c r="L20" s="113">
        <f t="shared" si="1"/>
        <v>0</v>
      </c>
      <c r="M20" s="75">
        <f t="shared" si="1"/>
        <v>4016.01</v>
      </c>
      <c r="N20" s="75">
        <f t="shared" si="1"/>
        <v>78.459999999999994</v>
      </c>
      <c r="O20" s="75">
        <f t="shared" si="1"/>
        <v>441.53</v>
      </c>
      <c r="P20" s="75">
        <f t="shared" si="1"/>
        <v>9326.7000000000007</v>
      </c>
      <c r="Q20" s="76">
        <f>SUM(Q15:Q19)</f>
        <v>27477.88</v>
      </c>
      <c r="R20" s="75">
        <f t="shared" si="1"/>
        <v>6111.32</v>
      </c>
      <c r="S20" s="75">
        <f t="shared" si="1"/>
        <v>698.43999999999994</v>
      </c>
      <c r="T20" s="75">
        <f t="shared" si="1"/>
        <v>1047.6600000000001</v>
      </c>
      <c r="U20" s="77">
        <f t="shared" si="1"/>
        <v>7857.4199999999983</v>
      </c>
      <c r="V20" s="21"/>
    </row>
    <row r="21" spans="1:22" s="22" customFormat="1" ht="20.149999999999999" customHeight="1" thickTop="1">
      <c r="A21" s="23"/>
      <c r="B21" s="24"/>
      <c r="C21" s="163"/>
      <c r="D21" s="163"/>
      <c r="E21" s="21"/>
      <c r="F21" s="21"/>
      <c r="G21" s="21"/>
      <c r="H21" s="21"/>
      <c r="I21" s="26"/>
      <c r="J21" s="21"/>
      <c r="K21" s="21"/>
      <c r="L21" s="21"/>
      <c r="M21" s="21"/>
      <c r="N21" s="21"/>
      <c r="O21" s="21"/>
      <c r="P21" s="21"/>
      <c r="Q21" s="27"/>
      <c r="R21" s="28"/>
      <c r="S21" s="28"/>
      <c r="T21" s="21"/>
      <c r="U21" s="21"/>
      <c r="V21" s="21"/>
    </row>
    <row r="22" spans="1:22" s="22" customFormat="1" ht="16" thickBot="1">
      <c r="A22" s="23"/>
      <c r="B22" s="59" t="s">
        <v>96</v>
      </c>
      <c r="C22" s="163"/>
      <c r="D22" s="163"/>
      <c r="E22" s="21"/>
      <c r="F22" s="21"/>
      <c r="G22" s="21"/>
      <c r="H22" s="21"/>
      <c r="I22" s="26"/>
      <c r="J22" s="21"/>
      <c r="K22" s="21"/>
      <c r="L22" s="21"/>
      <c r="M22" s="21"/>
      <c r="N22" s="21"/>
      <c r="O22" s="21"/>
      <c r="P22" s="21"/>
      <c r="Q22" s="27"/>
      <c r="R22" s="28"/>
      <c r="S22" s="28"/>
      <c r="T22" s="21"/>
      <c r="U22" s="21"/>
      <c r="V22" s="21"/>
    </row>
    <row r="23" spans="1:22" s="136" customFormat="1" ht="30" customHeight="1" thickTop="1">
      <c r="A23" s="149" t="s">
        <v>32</v>
      </c>
      <c r="B23" s="150" t="s">
        <v>33</v>
      </c>
      <c r="C23" s="151">
        <v>21</v>
      </c>
      <c r="D23" s="151">
        <v>15</v>
      </c>
      <c r="E23" s="144">
        <v>1029.43333333333</v>
      </c>
      <c r="F23" s="144">
        <f>D23*E23</f>
        <v>15441.499999999949</v>
      </c>
      <c r="G23" s="144">
        <f>(1133/30)*D23</f>
        <v>566.5</v>
      </c>
      <c r="H23" s="144">
        <f>((88.36*1.5)/15)*D23</f>
        <v>132.54</v>
      </c>
      <c r="I23" s="152">
        <f>ROUND(SUM(F23:H23),2)</f>
        <v>16140.54</v>
      </c>
      <c r="J23" s="144">
        <v>2899.88</v>
      </c>
      <c r="K23" s="144"/>
      <c r="L23" s="144"/>
      <c r="M23" s="144">
        <f>ROUND((+F23*11.5%),2)</f>
        <v>1775.77</v>
      </c>
      <c r="N23" s="144"/>
      <c r="O23" s="144"/>
      <c r="P23" s="144">
        <f>SUM(J23:O23)</f>
        <v>4675.6499999999996</v>
      </c>
      <c r="Q23" s="148">
        <f>+I23-P23</f>
        <v>11464.890000000001</v>
      </c>
      <c r="R23" s="153">
        <f>ROUND((+F23*17.5%),2)</f>
        <v>2702.26</v>
      </c>
      <c r="S23" s="153">
        <f>ROUND((+F23*2%),2)</f>
        <v>308.83</v>
      </c>
      <c r="T23" s="144">
        <f>ROUND((+F23*3%),2)</f>
        <v>463.24</v>
      </c>
      <c r="U23" s="154">
        <f>SUM(R23:T23)</f>
        <v>3474.33</v>
      </c>
      <c r="V23" s="135"/>
    </row>
    <row r="24" spans="1:22" s="6" customFormat="1" ht="30" customHeight="1">
      <c r="A24" s="142" t="s">
        <v>89</v>
      </c>
      <c r="B24" s="143" t="s">
        <v>71</v>
      </c>
      <c r="C24" s="102">
        <v>16</v>
      </c>
      <c r="D24" s="102">
        <v>15</v>
      </c>
      <c r="E24" s="103">
        <v>573.76666666666699</v>
      </c>
      <c r="F24" s="103">
        <f>TRUNC((D24*E24),2)+0</f>
        <v>8606.5</v>
      </c>
      <c r="G24" s="103">
        <f>TRUNC((779/30)*D24,2)+0</f>
        <v>389.5</v>
      </c>
      <c r="H24" s="103"/>
      <c r="I24" s="116">
        <f>ROUND(SUM(F24:H24),2)</f>
        <v>8996</v>
      </c>
      <c r="J24" s="138">
        <v>1283.33</v>
      </c>
      <c r="K24" s="103"/>
      <c r="L24" s="103"/>
      <c r="M24" s="103">
        <f>ROUND((+F24*11.5%),2)</f>
        <v>989.75</v>
      </c>
      <c r="N24" s="103"/>
      <c r="O24" s="103"/>
      <c r="P24" s="103">
        <f>SUM(J24:O24)</f>
        <v>2273.08</v>
      </c>
      <c r="Q24" s="147">
        <f>+I24-P24</f>
        <v>6722.92</v>
      </c>
      <c r="R24" s="104">
        <f>ROUND((+F24*17.5%),2)</f>
        <v>1506.14</v>
      </c>
      <c r="S24" s="104">
        <f>ROUND((+F24*2%),2)</f>
        <v>172.13</v>
      </c>
      <c r="T24" s="103">
        <f>ROUND((+F24*3%),2)</f>
        <v>258.2</v>
      </c>
      <c r="U24" s="105">
        <f>SUM(R24:T24)</f>
        <v>1936.47</v>
      </c>
      <c r="V24" s="10"/>
    </row>
    <row r="25" spans="1:22" s="6" customFormat="1" ht="17" thickBot="1">
      <c r="A25" s="72"/>
      <c r="B25" s="78" t="s">
        <v>21</v>
      </c>
      <c r="C25" s="78"/>
      <c r="D25" s="78"/>
      <c r="E25" s="78"/>
      <c r="F25" s="75">
        <f t="shared" ref="F25:U25" si="2">SUM(F23:F24)</f>
        <v>24047.999999999949</v>
      </c>
      <c r="G25" s="75">
        <f t="shared" si="2"/>
        <v>956</v>
      </c>
      <c r="H25" s="75">
        <f t="shared" si="2"/>
        <v>132.54</v>
      </c>
      <c r="I25" s="75">
        <f t="shared" si="2"/>
        <v>25136.54</v>
      </c>
      <c r="J25" s="75">
        <f t="shared" si="2"/>
        <v>4183.21</v>
      </c>
      <c r="K25" s="75">
        <f t="shared" si="2"/>
        <v>0</v>
      </c>
      <c r="L25" s="75">
        <f t="shared" si="2"/>
        <v>0</v>
      </c>
      <c r="M25" s="75">
        <f t="shared" si="2"/>
        <v>2765.52</v>
      </c>
      <c r="N25" s="75">
        <f t="shared" si="2"/>
        <v>0</v>
      </c>
      <c r="O25" s="75">
        <f t="shared" si="2"/>
        <v>0</v>
      </c>
      <c r="P25" s="75">
        <f t="shared" si="2"/>
        <v>6948.73</v>
      </c>
      <c r="Q25" s="76">
        <f t="shared" si="2"/>
        <v>18187.810000000001</v>
      </c>
      <c r="R25" s="75">
        <f t="shared" si="2"/>
        <v>4208.4000000000005</v>
      </c>
      <c r="S25" s="75">
        <f t="shared" si="2"/>
        <v>480.96</v>
      </c>
      <c r="T25" s="75">
        <f t="shared" si="2"/>
        <v>721.44</v>
      </c>
      <c r="U25" s="77">
        <f t="shared" si="2"/>
        <v>5410.8</v>
      </c>
    </row>
    <row r="26" spans="1:22" s="136" customFormat="1" ht="30" customHeight="1" thickTop="1">
      <c r="A26" s="168"/>
      <c r="B26" s="169"/>
      <c r="C26" s="170"/>
      <c r="D26" s="170"/>
      <c r="E26" s="171"/>
      <c r="F26" s="171"/>
      <c r="G26" s="171"/>
      <c r="H26" s="171"/>
      <c r="I26" s="172"/>
      <c r="J26" s="171"/>
      <c r="K26" s="171"/>
      <c r="L26" s="171"/>
      <c r="M26" s="171"/>
      <c r="N26" s="171"/>
      <c r="O26" s="171"/>
      <c r="P26" s="171"/>
      <c r="Q26" s="173"/>
      <c r="R26" s="174"/>
      <c r="S26" s="174"/>
      <c r="T26" s="176">
        <v>721.45</v>
      </c>
      <c r="U26" s="175"/>
      <c r="V26" s="135"/>
    </row>
    <row r="27" spans="1:22" s="22" customFormat="1" ht="15.5">
      <c r="A27" s="23"/>
      <c r="B27" s="59" t="s">
        <v>97</v>
      </c>
      <c r="C27" s="163"/>
      <c r="D27" s="163"/>
      <c r="E27" s="21"/>
      <c r="F27" s="21"/>
      <c r="G27" s="21"/>
      <c r="H27" s="21"/>
      <c r="I27" s="26"/>
      <c r="J27" s="21"/>
      <c r="K27" s="21"/>
      <c r="L27" s="21"/>
      <c r="M27" s="21"/>
      <c r="N27" s="21"/>
      <c r="O27" s="21"/>
      <c r="P27" s="21"/>
      <c r="Q27" s="27"/>
      <c r="R27" s="28"/>
      <c r="S27" s="28"/>
      <c r="T27" s="21"/>
      <c r="U27" s="21"/>
      <c r="V27" s="21"/>
    </row>
    <row r="28" spans="1:22" s="6" customFormat="1" ht="30" customHeight="1">
      <c r="A28" s="70" t="s">
        <v>83</v>
      </c>
      <c r="B28" s="54" t="s">
        <v>84</v>
      </c>
      <c r="C28" s="55">
        <v>16</v>
      </c>
      <c r="D28" s="55">
        <v>15</v>
      </c>
      <c r="E28" s="56">
        <v>573.76666666666699</v>
      </c>
      <c r="F28" s="56">
        <f>D28*E28</f>
        <v>8606.5000000000055</v>
      </c>
      <c r="G28" s="56">
        <f>(779/30)*D28</f>
        <v>389.5</v>
      </c>
      <c r="H28" s="56"/>
      <c r="I28" s="57">
        <f>ROUND(SUM(F28:H28),2)</f>
        <v>8996</v>
      </c>
      <c r="J28" s="101">
        <v>1283.33</v>
      </c>
      <c r="K28" s="56"/>
      <c r="L28" s="56"/>
      <c r="M28" s="56">
        <f>ROUND((+F28*11.5%),2)</f>
        <v>989.75</v>
      </c>
      <c r="N28" s="56"/>
      <c r="O28" s="56">
        <v>1435</v>
      </c>
      <c r="P28" s="56">
        <f>SUM(J28:O28)</f>
        <v>3708.08</v>
      </c>
      <c r="Q28" s="132">
        <f>+I28-P28</f>
        <v>5287.92</v>
      </c>
      <c r="R28" s="58">
        <f>ROUND((+F28*17.5%),2)</f>
        <v>1506.14</v>
      </c>
      <c r="S28" s="58">
        <f>ROUND((+F28*2%),2)</f>
        <v>172.13</v>
      </c>
      <c r="T28" s="56">
        <f>ROUND((+F28*3%),2)</f>
        <v>258.2</v>
      </c>
      <c r="U28" s="71">
        <f>SUM(R28:T28)</f>
        <v>1936.47</v>
      </c>
      <c r="V28" s="10"/>
    </row>
    <row r="29" spans="1:22" s="6" customFormat="1" ht="17" thickBot="1">
      <c r="A29" s="72"/>
      <c r="B29" s="78" t="s">
        <v>21</v>
      </c>
      <c r="C29" s="78"/>
      <c r="D29" s="78"/>
      <c r="E29" s="78"/>
      <c r="F29" s="75">
        <f t="shared" ref="F29:U29" si="3">SUM(F27:F28)</f>
        <v>8606.5000000000055</v>
      </c>
      <c r="G29" s="75">
        <f t="shared" si="3"/>
        <v>389.5</v>
      </c>
      <c r="H29" s="75">
        <f t="shared" si="3"/>
        <v>0</v>
      </c>
      <c r="I29" s="75">
        <f t="shared" si="3"/>
        <v>8996</v>
      </c>
      <c r="J29" s="75">
        <f t="shared" si="3"/>
        <v>1283.33</v>
      </c>
      <c r="K29" s="75">
        <f t="shared" si="3"/>
        <v>0</v>
      </c>
      <c r="L29" s="75">
        <f t="shared" si="3"/>
        <v>0</v>
      </c>
      <c r="M29" s="75">
        <f t="shared" si="3"/>
        <v>989.75</v>
      </c>
      <c r="N29" s="75">
        <f t="shared" si="3"/>
        <v>0</v>
      </c>
      <c r="O29" s="75">
        <f t="shared" si="3"/>
        <v>1435</v>
      </c>
      <c r="P29" s="75">
        <f t="shared" si="3"/>
        <v>3708.08</v>
      </c>
      <c r="Q29" s="76">
        <f t="shared" si="3"/>
        <v>5287.92</v>
      </c>
      <c r="R29" s="75">
        <f t="shared" si="3"/>
        <v>1506.14</v>
      </c>
      <c r="S29" s="75">
        <f t="shared" si="3"/>
        <v>172.13</v>
      </c>
      <c r="T29" s="75">
        <f t="shared" si="3"/>
        <v>258.2</v>
      </c>
      <c r="U29" s="77">
        <f t="shared" si="3"/>
        <v>1936.47</v>
      </c>
    </row>
    <row r="30" spans="1:22" ht="15" thickTop="1"/>
    <row r="31" spans="1:22" s="22" customFormat="1" ht="27" customHeight="1" thickBot="1">
      <c r="A31" s="23"/>
      <c r="B31" s="59" t="s">
        <v>98</v>
      </c>
      <c r="C31" s="163"/>
      <c r="D31" s="163"/>
      <c r="E31" s="21"/>
      <c r="F31" s="21"/>
      <c r="G31" s="21"/>
      <c r="H31" s="21"/>
      <c r="I31" s="26"/>
      <c r="J31" s="21"/>
      <c r="K31" s="21"/>
      <c r="L31" s="21"/>
      <c r="M31" s="21"/>
      <c r="N31" s="21"/>
      <c r="O31" s="21"/>
      <c r="P31" s="21"/>
      <c r="Q31" s="27"/>
      <c r="R31" s="28"/>
      <c r="S31" s="28"/>
      <c r="T31" s="21"/>
      <c r="U31" s="21"/>
      <c r="V31" s="21"/>
    </row>
    <row r="32" spans="1:22" s="6" customFormat="1" ht="30" customHeight="1" thickTop="1">
      <c r="A32" s="63" t="s">
        <v>35</v>
      </c>
      <c r="B32" s="64" t="s">
        <v>36</v>
      </c>
      <c r="C32" s="65">
        <v>21</v>
      </c>
      <c r="D32" s="65">
        <v>15</v>
      </c>
      <c r="E32" s="66">
        <v>1029.43333333333</v>
      </c>
      <c r="F32" s="66">
        <f>D32*E32</f>
        <v>15441.499999999949</v>
      </c>
      <c r="G32" s="66">
        <f>(1133/30)*D32</f>
        <v>566.5</v>
      </c>
      <c r="H32" s="66">
        <f>((88.36*1.5)/15)*D32</f>
        <v>132.54</v>
      </c>
      <c r="I32" s="67">
        <f>ROUND(SUM(F32:H32),2)</f>
        <v>16140.54</v>
      </c>
      <c r="J32" s="144">
        <v>2899.88</v>
      </c>
      <c r="K32" s="66"/>
      <c r="L32" s="66"/>
      <c r="M32" s="66">
        <f>ROUND((+F32*11.5%),2)</f>
        <v>1775.77</v>
      </c>
      <c r="N32" s="66"/>
      <c r="O32" s="66">
        <f>4408.79+242.4</f>
        <v>4651.1899999999996</v>
      </c>
      <c r="P32" s="66">
        <f>SUM(J32:O32)</f>
        <v>9326.84</v>
      </c>
      <c r="Q32" s="148">
        <f>+I32-P32</f>
        <v>6813.7000000000007</v>
      </c>
      <c r="R32" s="68">
        <f>ROUND((+F32*17.5%),2)</f>
        <v>2702.26</v>
      </c>
      <c r="S32" s="68">
        <f>ROUND((+F32*2%),2)</f>
        <v>308.83</v>
      </c>
      <c r="T32" s="66">
        <f>ROUND((+F32*3%),2)</f>
        <v>463.24</v>
      </c>
      <c r="U32" s="69">
        <f>SUM(R32:T32)</f>
        <v>3474.33</v>
      </c>
      <c r="V32" s="10"/>
    </row>
    <row r="33" spans="1:22" s="6" customFormat="1" ht="30" customHeight="1">
      <c r="A33" s="70" t="s">
        <v>37</v>
      </c>
      <c r="B33" s="54" t="s">
        <v>38</v>
      </c>
      <c r="C33" s="55">
        <v>17</v>
      </c>
      <c r="D33" s="55">
        <v>15</v>
      </c>
      <c r="E33" s="56">
        <v>651.06666666666695</v>
      </c>
      <c r="F33" s="56">
        <f>D33*E33</f>
        <v>9766.0000000000036</v>
      </c>
      <c r="G33" s="56">
        <f>(857/30)*D33</f>
        <v>428.5</v>
      </c>
      <c r="H33" s="56">
        <f>(88.36/15)*D33</f>
        <v>88.36</v>
      </c>
      <c r="I33" s="57">
        <f>ROUND(SUM(F33:H33),2)</f>
        <v>10282.86</v>
      </c>
      <c r="J33" s="101">
        <v>1558.2</v>
      </c>
      <c r="K33" s="56"/>
      <c r="L33" s="56"/>
      <c r="M33" s="56">
        <f>ROUND((+F33*11.5%),2)</f>
        <v>1123.0899999999999</v>
      </c>
      <c r="N33" s="56"/>
      <c r="O33" s="56">
        <v>2223</v>
      </c>
      <c r="P33" s="56">
        <f>SUM(J33:O33)</f>
        <v>4904.29</v>
      </c>
      <c r="Q33" s="132">
        <f>+I33-P33</f>
        <v>5378.5700000000006</v>
      </c>
      <c r="R33" s="58">
        <f>ROUND((+F33*17.5%),2)</f>
        <v>1709.05</v>
      </c>
      <c r="S33" s="58">
        <f>ROUND((+F33*2%),2)</f>
        <v>195.32</v>
      </c>
      <c r="T33" s="56">
        <f>ROUND((+F33*3%),2)+0.01</f>
        <v>292.99</v>
      </c>
      <c r="U33" s="71">
        <f>SUM(R33:T33)</f>
        <v>2197.3599999999997</v>
      </c>
      <c r="V33" s="10"/>
    </row>
    <row r="34" spans="1:22" s="6" customFormat="1" ht="30" customHeight="1">
      <c r="A34" s="70" t="s">
        <v>102</v>
      </c>
      <c r="B34" s="54" t="s">
        <v>103</v>
      </c>
      <c r="C34" s="55">
        <v>17</v>
      </c>
      <c r="D34" s="55">
        <v>15</v>
      </c>
      <c r="E34" s="56">
        <v>651.06666666666695</v>
      </c>
      <c r="F34" s="56">
        <f>D34*E34</f>
        <v>9766.0000000000036</v>
      </c>
      <c r="G34" s="56">
        <f>(857/30)*D34</f>
        <v>428.5</v>
      </c>
      <c r="H34" s="56"/>
      <c r="I34" s="57">
        <f>ROUND(SUM(F34:H34),2)</f>
        <v>10194.5</v>
      </c>
      <c r="J34" s="101">
        <v>1539.33</v>
      </c>
      <c r="K34" s="56"/>
      <c r="L34" s="56"/>
      <c r="M34" s="56">
        <f>ROUND((+F34*11.5%),2)</f>
        <v>1123.0899999999999</v>
      </c>
      <c r="N34" s="56"/>
      <c r="O34" s="56"/>
      <c r="P34" s="56">
        <f>SUM(J34:O34)</f>
        <v>2662.42</v>
      </c>
      <c r="Q34" s="132">
        <f>+I34-P34</f>
        <v>7532.08</v>
      </c>
      <c r="R34" s="58">
        <f>ROUND((+F34*17.5%),2)</f>
        <v>1709.05</v>
      </c>
      <c r="S34" s="58">
        <f>ROUND((+F34*2%),2)</f>
        <v>195.32</v>
      </c>
      <c r="T34" s="56">
        <f>ROUND((+F34*3%),2)+0.01</f>
        <v>292.99</v>
      </c>
      <c r="U34" s="71">
        <f>SUM(R34:T34)</f>
        <v>2197.3599999999997</v>
      </c>
      <c r="V34" s="10"/>
    </row>
    <row r="35" spans="1:22" s="22" customFormat="1" ht="17" thickBot="1">
      <c r="A35" s="72"/>
      <c r="B35" s="73" t="s">
        <v>21</v>
      </c>
      <c r="C35" s="74"/>
      <c r="D35" s="74"/>
      <c r="E35" s="75"/>
      <c r="F35" s="75">
        <f>SUM(F32:F34)</f>
        <v>34973.499999999956</v>
      </c>
      <c r="G35" s="75">
        <f t="shared" ref="G35:U35" si="4">SUM(G32:G34)</f>
        <v>1423.5</v>
      </c>
      <c r="H35" s="75">
        <f t="shared" si="4"/>
        <v>220.89999999999998</v>
      </c>
      <c r="I35" s="79">
        <f t="shared" si="4"/>
        <v>36617.9</v>
      </c>
      <c r="J35" s="75">
        <f t="shared" si="4"/>
        <v>5997.41</v>
      </c>
      <c r="K35" s="75">
        <f t="shared" si="4"/>
        <v>0</v>
      </c>
      <c r="L35" s="75">
        <f t="shared" si="4"/>
        <v>0</v>
      </c>
      <c r="M35" s="75">
        <f t="shared" si="4"/>
        <v>4021.95</v>
      </c>
      <c r="N35" s="75">
        <f t="shared" si="4"/>
        <v>0</v>
      </c>
      <c r="O35" s="75">
        <f t="shared" si="4"/>
        <v>6874.19</v>
      </c>
      <c r="P35" s="75">
        <f t="shared" si="4"/>
        <v>16893.550000000003</v>
      </c>
      <c r="Q35" s="76">
        <f t="shared" si="4"/>
        <v>19724.349999999999</v>
      </c>
      <c r="R35" s="75">
        <f t="shared" si="4"/>
        <v>6120.3600000000006</v>
      </c>
      <c r="S35" s="75">
        <f t="shared" si="4"/>
        <v>699.47</v>
      </c>
      <c r="T35" s="75">
        <f t="shared" si="4"/>
        <v>1049.22</v>
      </c>
      <c r="U35" s="77">
        <f t="shared" si="4"/>
        <v>7869.0499999999993</v>
      </c>
      <c r="V35" s="21"/>
    </row>
    <row r="36" spans="1:22" s="6" customFormat="1" ht="30" customHeight="1" thickTop="1">
      <c r="A36" s="70"/>
      <c r="B36" s="54" t="s">
        <v>99</v>
      </c>
      <c r="C36" s="55"/>
      <c r="D36" s="55"/>
      <c r="E36" s="56"/>
      <c r="F36" s="56"/>
      <c r="G36" s="56"/>
      <c r="H36" s="56"/>
      <c r="I36" s="57"/>
      <c r="J36" s="101"/>
      <c r="K36" s="56"/>
      <c r="L36" s="56"/>
      <c r="M36" s="56"/>
      <c r="N36" s="56"/>
      <c r="O36" s="56"/>
      <c r="P36" s="56"/>
      <c r="Q36" s="132"/>
      <c r="R36" s="58"/>
      <c r="S36" s="58"/>
      <c r="T36" s="56">
        <v>1049.21</v>
      </c>
      <c r="U36" s="71"/>
      <c r="V36" s="10"/>
    </row>
    <row r="37" spans="1:22" s="6" customFormat="1" ht="30" customHeight="1">
      <c r="A37" s="70" t="s">
        <v>39</v>
      </c>
      <c r="B37" s="54" t="s">
        <v>40</v>
      </c>
      <c r="C37" s="55">
        <v>17</v>
      </c>
      <c r="D37" s="55">
        <v>15</v>
      </c>
      <c r="E37" s="56">
        <v>651.06666666666695</v>
      </c>
      <c r="F37" s="56">
        <f>D37*E37</f>
        <v>9766.0000000000036</v>
      </c>
      <c r="G37" s="56">
        <f>(857/30)*D37</f>
        <v>428.5</v>
      </c>
      <c r="H37" s="56">
        <f>(88.36/15)*D37</f>
        <v>88.36</v>
      </c>
      <c r="I37" s="57">
        <f>ROUND(SUM(F37:H37),2)</f>
        <v>10282.86</v>
      </c>
      <c r="J37" s="101">
        <v>1558.2</v>
      </c>
      <c r="K37" s="56"/>
      <c r="L37" s="56"/>
      <c r="M37" s="56">
        <f>ROUND((+F37*11.5%),2)</f>
        <v>1123.0899999999999</v>
      </c>
      <c r="N37" s="56"/>
      <c r="O37" s="56"/>
      <c r="P37" s="56">
        <f>SUM(J37:O37)</f>
        <v>2681.29</v>
      </c>
      <c r="Q37" s="132">
        <f>+I37-P37</f>
        <v>7601.5700000000006</v>
      </c>
      <c r="R37" s="58">
        <f>ROUND((+F37*17.5%),2)</f>
        <v>1709.05</v>
      </c>
      <c r="S37" s="58">
        <f>ROUND((+F37*2%),2)</f>
        <v>195.32</v>
      </c>
      <c r="T37" s="56">
        <f>ROUND((+F37*3%),2)+0.01</f>
        <v>292.99</v>
      </c>
      <c r="U37" s="71">
        <f>SUM(R37:T37)</f>
        <v>2197.3599999999997</v>
      </c>
      <c r="V37" s="10"/>
    </row>
    <row r="38" spans="1:22" s="22" customFormat="1" ht="17" thickBot="1">
      <c r="A38" s="72"/>
      <c r="B38" s="73" t="s">
        <v>21</v>
      </c>
      <c r="C38" s="74"/>
      <c r="D38" s="74"/>
      <c r="E38" s="75"/>
      <c r="F38" s="75">
        <f>+F37</f>
        <v>9766.0000000000036</v>
      </c>
      <c r="G38" s="75">
        <f t="shared" ref="G38:U38" si="5">+G37</f>
        <v>428.5</v>
      </c>
      <c r="H38" s="75">
        <f t="shared" si="5"/>
        <v>88.36</v>
      </c>
      <c r="I38" s="79">
        <f t="shared" si="5"/>
        <v>10282.86</v>
      </c>
      <c r="J38" s="75">
        <f t="shared" si="5"/>
        <v>1558.2</v>
      </c>
      <c r="K38" s="75">
        <f t="shared" si="5"/>
        <v>0</v>
      </c>
      <c r="L38" s="75">
        <f t="shared" si="5"/>
        <v>0</v>
      </c>
      <c r="M38" s="75">
        <f t="shared" si="5"/>
        <v>1123.0899999999999</v>
      </c>
      <c r="N38" s="75">
        <f t="shared" si="5"/>
        <v>0</v>
      </c>
      <c r="O38" s="75">
        <f t="shared" si="5"/>
        <v>0</v>
      </c>
      <c r="P38" s="75">
        <f t="shared" si="5"/>
        <v>2681.29</v>
      </c>
      <c r="Q38" s="76">
        <f t="shared" si="5"/>
        <v>7601.5700000000006</v>
      </c>
      <c r="R38" s="75">
        <f t="shared" si="5"/>
        <v>1709.05</v>
      </c>
      <c r="S38" s="75">
        <f t="shared" si="5"/>
        <v>195.32</v>
      </c>
      <c r="T38" s="75">
        <f t="shared" si="5"/>
        <v>292.99</v>
      </c>
      <c r="U38" s="77">
        <f t="shared" si="5"/>
        <v>2197.3599999999997</v>
      </c>
      <c r="V38" s="21"/>
    </row>
    <row r="39" spans="1:22" s="22" customFormat="1" ht="20.149999999999999" customHeight="1" thickTop="1">
      <c r="A39" s="23"/>
      <c r="B39" s="24"/>
      <c r="C39" s="163"/>
      <c r="D39" s="163"/>
      <c r="E39" s="21"/>
      <c r="F39" s="21"/>
      <c r="G39" s="21"/>
      <c r="H39" s="21"/>
      <c r="I39" s="26"/>
      <c r="J39" s="21"/>
      <c r="K39" s="21"/>
      <c r="L39" s="21"/>
      <c r="M39" s="21"/>
      <c r="N39" s="21"/>
      <c r="O39" s="21"/>
      <c r="P39" s="21"/>
      <c r="Q39" s="27"/>
      <c r="R39" s="28"/>
      <c r="S39" s="28"/>
      <c r="T39" s="21">
        <v>292.98</v>
      </c>
      <c r="U39" s="21"/>
      <c r="V39" s="21"/>
    </row>
    <row r="40" spans="1:22" s="6" customFormat="1" ht="16" thickBot="1">
      <c r="A40" s="5"/>
      <c r="B40" s="59" t="s">
        <v>99</v>
      </c>
      <c r="I40" s="7"/>
      <c r="Q40" s="8"/>
      <c r="R40" s="9"/>
      <c r="S40" s="9"/>
    </row>
    <row r="41" spans="1:22" s="6" customFormat="1" ht="31.5" customHeight="1" thickTop="1">
      <c r="A41" s="63" t="s">
        <v>42</v>
      </c>
      <c r="B41" s="64" t="s">
        <v>43</v>
      </c>
      <c r="C41" s="65">
        <v>21</v>
      </c>
      <c r="D41" s="65">
        <v>15</v>
      </c>
      <c r="E41" s="66">
        <v>1029.43333333333</v>
      </c>
      <c r="F41" s="66">
        <f>D41*E41</f>
        <v>15441.499999999949</v>
      </c>
      <c r="G41" s="66">
        <f>(1133/30)*D41</f>
        <v>566.5</v>
      </c>
      <c r="H41" s="66">
        <f>((88.36*1.5)/15)*D41</f>
        <v>132.54</v>
      </c>
      <c r="I41" s="67">
        <f>ROUND(SUM(F41:H41),2)</f>
        <v>16140.54</v>
      </c>
      <c r="J41" s="144">
        <v>2899.88</v>
      </c>
      <c r="K41" s="66"/>
      <c r="L41" s="66"/>
      <c r="M41" s="66">
        <f>ROUND((+F41*11.5%),2)</f>
        <v>1775.77</v>
      </c>
      <c r="N41" s="66"/>
      <c r="O41" s="66">
        <v>929.29</v>
      </c>
      <c r="P41" s="66">
        <f>SUM(J41:O41)</f>
        <v>5604.94</v>
      </c>
      <c r="Q41" s="148">
        <f>+I41-P41</f>
        <v>10535.600000000002</v>
      </c>
      <c r="R41" s="68">
        <f>ROUND((+F41*17.5%),2)</f>
        <v>2702.26</v>
      </c>
      <c r="S41" s="68">
        <f>ROUND((+F41*2%),2)</f>
        <v>308.83</v>
      </c>
      <c r="T41" s="66">
        <f>ROUND((+F41*3%),2)</f>
        <v>463.24</v>
      </c>
      <c r="U41" s="69">
        <f>SUM(R41:T41)</f>
        <v>3474.33</v>
      </c>
      <c r="V41" s="10"/>
    </row>
    <row r="42" spans="1:22" s="6" customFormat="1" ht="17" thickBot="1">
      <c r="A42" s="72"/>
      <c r="B42" s="78" t="s">
        <v>21</v>
      </c>
      <c r="C42" s="78"/>
      <c r="D42" s="78"/>
      <c r="E42" s="78"/>
      <c r="F42" s="75">
        <f>+F41</f>
        <v>15441.499999999949</v>
      </c>
      <c r="G42" s="75">
        <f>+G41</f>
        <v>566.5</v>
      </c>
      <c r="H42" s="75">
        <f>SUM(H40:H41)</f>
        <v>132.54</v>
      </c>
      <c r="I42" s="79">
        <f t="shared" ref="I42:U42" si="6">+I41</f>
        <v>16140.54</v>
      </c>
      <c r="J42" s="75">
        <f t="shared" si="6"/>
        <v>2899.88</v>
      </c>
      <c r="K42" s="75">
        <f t="shared" si="6"/>
        <v>0</v>
      </c>
      <c r="L42" s="75">
        <f t="shared" si="6"/>
        <v>0</v>
      </c>
      <c r="M42" s="75">
        <f>+M41</f>
        <v>1775.77</v>
      </c>
      <c r="N42" s="75">
        <f>+N41</f>
        <v>0</v>
      </c>
      <c r="O42" s="75">
        <f t="shared" si="6"/>
        <v>929.29</v>
      </c>
      <c r="P42" s="75">
        <f t="shared" si="6"/>
        <v>5604.94</v>
      </c>
      <c r="Q42" s="76">
        <f t="shared" si="6"/>
        <v>10535.600000000002</v>
      </c>
      <c r="R42" s="75">
        <f t="shared" si="6"/>
        <v>2702.26</v>
      </c>
      <c r="S42" s="75">
        <f t="shared" si="6"/>
        <v>308.83</v>
      </c>
      <c r="T42" s="75">
        <f t="shared" si="6"/>
        <v>463.24</v>
      </c>
      <c r="U42" s="77">
        <f t="shared" si="6"/>
        <v>3474.33</v>
      </c>
    </row>
    <row r="43" spans="1:22" s="6" customFormat="1" ht="16" thickTop="1">
      <c r="A43" s="5"/>
      <c r="I43" s="7"/>
      <c r="Q43" s="8"/>
      <c r="R43" s="9"/>
      <c r="S43" s="9"/>
      <c r="T43" s="6">
        <v>463.25</v>
      </c>
    </row>
    <row r="44" spans="1:22" s="6" customFormat="1" ht="15.5">
      <c r="A44" s="5"/>
      <c r="D44" s="165"/>
      <c r="E44" s="10"/>
      <c r="F44" s="10"/>
      <c r="G44" s="10"/>
      <c r="H44" s="10"/>
      <c r="I44" s="30"/>
      <c r="J44" s="10"/>
      <c r="K44" s="10"/>
      <c r="L44" s="10"/>
      <c r="M44" s="10"/>
      <c r="N44" s="10"/>
      <c r="O44" s="10"/>
      <c r="P44" s="10"/>
      <c r="Q44" s="8"/>
      <c r="R44" s="9"/>
      <c r="S44" s="9"/>
      <c r="T44" s="10"/>
      <c r="U44" s="10"/>
      <c r="V44" s="10"/>
    </row>
    <row r="45" spans="1:22" s="4" customFormat="1" ht="15.5">
      <c r="A45" s="31"/>
      <c r="B45" s="32"/>
      <c r="D45" s="164"/>
      <c r="E45" s="34" t="s">
        <v>44</v>
      </c>
      <c r="F45" s="35">
        <f>+F12+F20+F38+F25+F42+F29+F35</f>
        <v>157136.74999999983</v>
      </c>
      <c r="G45" s="35">
        <f t="shared" ref="G45:U45" si="7">+G12+G20+G38+G25+G42+G29+G35</f>
        <v>6146.07</v>
      </c>
      <c r="H45" s="35">
        <f t="shared" si="7"/>
        <v>971.95999999999992</v>
      </c>
      <c r="I45" s="35">
        <f t="shared" si="7"/>
        <v>164254.78</v>
      </c>
      <c r="J45" s="35">
        <f t="shared" si="7"/>
        <v>27678.579999999998</v>
      </c>
      <c r="K45" s="35">
        <f t="shared" si="7"/>
        <v>0</v>
      </c>
      <c r="L45" s="35">
        <f t="shared" si="7"/>
        <v>0</v>
      </c>
      <c r="M45" s="145">
        <f t="shared" si="7"/>
        <v>18070.73</v>
      </c>
      <c r="N45" s="145">
        <f t="shared" si="7"/>
        <v>78.459999999999994</v>
      </c>
      <c r="O45" s="145">
        <f t="shared" si="7"/>
        <v>9680.0099999999984</v>
      </c>
      <c r="P45" s="145">
        <f t="shared" si="7"/>
        <v>55507.780000000006</v>
      </c>
      <c r="Q45" s="146">
        <f t="shared" si="7"/>
        <v>108747</v>
      </c>
      <c r="R45" s="145">
        <f t="shared" si="7"/>
        <v>27498.940000000002</v>
      </c>
      <c r="S45" s="145">
        <f t="shared" si="7"/>
        <v>3142.74</v>
      </c>
      <c r="T45" s="145">
        <f t="shared" si="7"/>
        <v>4714.1400000000003</v>
      </c>
      <c r="U45" s="35">
        <f t="shared" si="7"/>
        <v>35355.819999999992</v>
      </c>
      <c r="V45" s="37"/>
    </row>
    <row r="46" spans="1:22" s="6" customFormat="1" ht="20.149999999999999" customHeight="1">
      <c r="A46" s="5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9"/>
      <c r="R46" s="9"/>
      <c r="S46" s="9"/>
      <c r="T46" s="10">
        <f>+T11+T20+T26+T29+T36+T39+T43</f>
        <v>4714.1399999999994</v>
      </c>
      <c r="U46" s="10"/>
      <c r="V46" s="10"/>
    </row>
    <row r="47" spans="1:22" s="6" customFormat="1" ht="15.5">
      <c r="A47" s="5"/>
      <c r="B47" s="6" t="s">
        <v>45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30" t="s">
        <v>46</v>
      </c>
      <c r="Q47" s="9">
        <f>+Q45</f>
        <v>108747</v>
      </c>
      <c r="R47" s="9"/>
      <c r="S47" s="9"/>
      <c r="T47" s="10"/>
      <c r="U47" s="10"/>
      <c r="V47" s="10"/>
    </row>
    <row r="48" spans="1:22" s="6" customFormat="1" ht="15.5">
      <c r="A48" s="5"/>
      <c r="B48" s="6" t="s">
        <v>47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30" t="s">
        <v>48</v>
      </c>
      <c r="Q48" s="38">
        <v>0</v>
      </c>
      <c r="R48" s="9"/>
      <c r="S48" s="9"/>
      <c r="T48" s="10"/>
      <c r="U48" s="10"/>
      <c r="V48" s="10"/>
    </row>
    <row r="49" spans="1:22" s="6" customFormat="1" ht="15.5">
      <c r="A49" s="5"/>
      <c r="B49" s="6" t="s">
        <v>49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30" t="s">
        <v>6</v>
      </c>
      <c r="Q49" s="9">
        <f>+Q47+Q48</f>
        <v>108747</v>
      </c>
      <c r="R49" s="9"/>
      <c r="S49" s="9"/>
      <c r="T49" s="10"/>
      <c r="U49" s="10"/>
      <c r="V49" s="10"/>
    </row>
    <row r="50" spans="1:22" s="6" customFormat="1" ht="15.5">
      <c r="A50" s="5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9"/>
      <c r="R50" s="9"/>
      <c r="S50" s="9"/>
      <c r="T50" s="10"/>
      <c r="U50" s="10"/>
      <c r="V50" s="10"/>
    </row>
    <row r="51" spans="1:22" s="6" customFormat="1" ht="15.5">
      <c r="A51" s="5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164"/>
      <c r="O51" s="10"/>
      <c r="P51" s="10"/>
      <c r="Q51" s="9"/>
      <c r="R51" s="9"/>
      <c r="S51" s="9"/>
      <c r="T51" s="10"/>
      <c r="U51" s="10"/>
      <c r="V51" s="10"/>
    </row>
    <row r="52" spans="1:22" s="6" customFormat="1" ht="15.5">
      <c r="A52" s="5"/>
      <c r="E52" s="10"/>
      <c r="F52" s="10"/>
      <c r="G52" s="10"/>
      <c r="H52" s="10"/>
      <c r="I52" s="135"/>
      <c r="J52" s="10"/>
      <c r="K52" s="10"/>
      <c r="L52" s="10"/>
      <c r="M52" s="10"/>
      <c r="N52" s="10"/>
      <c r="O52" s="10"/>
      <c r="P52" s="39"/>
      <c r="Q52" s="9"/>
      <c r="R52" s="9"/>
      <c r="S52" s="10"/>
      <c r="T52" s="10"/>
      <c r="U52" s="10"/>
    </row>
    <row r="53" spans="1:22" s="6" customFormat="1" ht="15.5">
      <c r="A53" s="5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39"/>
      <c r="Q53" s="9"/>
      <c r="R53" s="9"/>
      <c r="S53" s="10"/>
      <c r="T53" s="10"/>
      <c r="U53" s="10"/>
    </row>
    <row r="54" spans="1:22" s="6" customFormat="1" ht="15.5">
      <c r="A54" s="5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39"/>
      <c r="Q54" s="9"/>
      <c r="R54" s="9"/>
      <c r="S54" s="10"/>
      <c r="T54" s="10"/>
      <c r="U54" s="10"/>
    </row>
    <row r="55" spans="1:22" s="6" customFormat="1" ht="15.5">
      <c r="B55" s="22"/>
      <c r="C55" s="40"/>
      <c r="D55" s="41"/>
      <c r="E55" s="42"/>
      <c r="F55" s="42"/>
      <c r="G55" s="41"/>
      <c r="I55" s="199"/>
      <c r="J55" s="199"/>
      <c r="K55" s="199"/>
      <c r="L55" s="199"/>
      <c r="M55" s="199"/>
      <c r="N55" s="21"/>
      <c r="O55" s="21"/>
      <c r="P55" s="199"/>
      <c r="Q55" s="199"/>
      <c r="R55" s="199"/>
      <c r="S55" s="199"/>
      <c r="T55" s="10"/>
      <c r="U55" s="10"/>
    </row>
    <row r="56" spans="1:22" s="6" customFormat="1" ht="15.5">
      <c r="B56" s="43"/>
      <c r="C56" s="208" t="s">
        <v>50</v>
      </c>
      <c r="D56" s="208"/>
      <c r="E56" s="208"/>
      <c r="F56" s="208"/>
      <c r="G56" s="208"/>
      <c r="I56" s="206" t="s">
        <v>51</v>
      </c>
      <c r="J56" s="206"/>
      <c r="K56" s="206"/>
      <c r="L56" s="206"/>
      <c r="M56" s="206"/>
      <c r="N56" s="44"/>
      <c r="O56" s="44"/>
      <c r="P56" s="200" t="s">
        <v>52</v>
      </c>
      <c r="Q56" s="200"/>
      <c r="R56" s="200"/>
      <c r="S56" s="200"/>
      <c r="T56" s="10"/>
      <c r="U56" s="10"/>
    </row>
    <row r="57" spans="1:22" s="6" customFormat="1" ht="15.5">
      <c r="B57" s="45"/>
      <c r="C57" s="209" t="s">
        <v>53</v>
      </c>
      <c r="D57" s="209"/>
      <c r="E57" s="209"/>
      <c r="F57" s="209"/>
      <c r="G57" s="209"/>
      <c r="I57" s="201" t="s">
        <v>54</v>
      </c>
      <c r="J57" s="201"/>
      <c r="K57" s="201"/>
      <c r="L57" s="201"/>
      <c r="M57" s="201"/>
      <c r="N57" s="44"/>
      <c r="O57" s="44"/>
      <c r="P57" s="201" t="s">
        <v>55</v>
      </c>
      <c r="Q57" s="201"/>
      <c r="R57" s="201"/>
      <c r="S57" s="201"/>
      <c r="T57" s="10"/>
      <c r="U57" s="10"/>
    </row>
    <row r="58" spans="1:22" s="6" customFormat="1" ht="15.5">
      <c r="B58" s="45"/>
      <c r="C58" s="209" t="s">
        <v>56</v>
      </c>
      <c r="D58" s="209"/>
      <c r="E58" s="209"/>
      <c r="F58" s="209"/>
      <c r="G58" s="209"/>
      <c r="I58" s="201" t="s">
        <v>57</v>
      </c>
      <c r="J58" s="201"/>
      <c r="K58" s="201"/>
      <c r="L58" s="201"/>
      <c r="M58" s="201"/>
      <c r="N58" s="44"/>
      <c r="O58" s="44"/>
      <c r="P58" s="201" t="s">
        <v>58</v>
      </c>
      <c r="Q58" s="201"/>
      <c r="R58" s="201"/>
      <c r="S58" s="201"/>
    </row>
    <row r="61" spans="1:22">
      <c r="H61">
        <v>880.44</v>
      </c>
    </row>
    <row r="62" spans="1:22">
      <c r="H62" s="141">
        <f>+H45-H61</f>
        <v>91.519999999999868</v>
      </c>
    </row>
  </sheetData>
  <mergeCells count="25">
    <mergeCell ref="C1:Q1"/>
    <mergeCell ref="C3:Q3"/>
    <mergeCell ref="C4:Q4"/>
    <mergeCell ref="R6:U6"/>
    <mergeCell ref="A8:A9"/>
    <mergeCell ref="B8:B9"/>
    <mergeCell ref="C8:C9"/>
    <mergeCell ref="D8:D9"/>
    <mergeCell ref="E8:F8"/>
    <mergeCell ref="G8:H8"/>
    <mergeCell ref="J8:P8"/>
    <mergeCell ref="Q8:Q9"/>
    <mergeCell ref="R8:T8"/>
    <mergeCell ref="B51:M51"/>
    <mergeCell ref="I55:M55"/>
    <mergeCell ref="P55:S55"/>
    <mergeCell ref="C58:G58"/>
    <mergeCell ref="I58:M58"/>
    <mergeCell ref="P58:S58"/>
    <mergeCell ref="C56:G56"/>
    <mergeCell ref="I56:M56"/>
    <mergeCell ref="P56:S56"/>
    <mergeCell ref="C57:G57"/>
    <mergeCell ref="I57:M57"/>
    <mergeCell ref="P57:S5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4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3"/>
  <sheetViews>
    <sheetView showGridLines="0" tabSelected="1" zoomScale="60" zoomScaleNormal="60" workbookViewId="0">
      <selection activeCell="D5" sqref="D5"/>
    </sheetView>
  </sheetViews>
  <sheetFormatPr baseColWidth="10" defaultRowHeight="14.5"/>
  <cols>
    <col min="2" max="2" width="10.6328125" customWidth="1"/>
    <col min="3" max="3" width="43.90625" customWidth="1"/>
    <col min="4" max="4" width="38.08984375" customWidth="1"/>
    <col min="5" max="5" width="8.36328125" hidden="1" customWidth="1"/>
    <col min="6" max="6" width="6.6328125" hidden="1" customWidth="1"/>
    <col min="7" max="7" width="11" hidden="1" customWidth="1"/>
    <col min="8" max="8" width="19.6328125" customWidth="1"/>
    <col min="9" max="9" width="19.81640625" customWidth="1"/>
    <col min="10" max="10" width="15.6328125" customWidth="1"/>
    <col min="11" max="11" width="13.81640625" hidden="1" customWidth="1"/>
    <col min="12" max="12" width="15.6328125" hidden="1" customWidth="1"/>
    <col min="13" max="13" width="15.81640625" customWidth="1"/>
    <col min="14" max="14" width="19.1796875" customWidth="1"/>
    <col min="15" max="15" width="13.08984375" hidden="1" customWidth="1"/>
    <col min="16" max="16" width="0" hidden="1" customWidth="1"/>
    <col min="17" max="17" width="12.6328125" hidden="1" customWidth="1"/>
    <col min="18" max="18" width="13.90625" hidden="1" customWidth="1"/>
  </cols>
  <sheetData>
    <row r="1" spans="2:19" s="2" customFormat="1" ht="27.5">
      <c r="B1" s="210" t="s">
        <v>0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3"/>
      <c r="P1" s="3"/>
    </row>
    <row r="2" spans="2:19" s="2" customFormat="1" ht="5.15" customHeight="1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  <c r="O2" s="3"/>
      <c r="P2" s="3"/>
    </row>
    <row r="3" spans="2:19" s="2" customFormat="1" ht="20">
      <c r="B3" s="1"/>
      <c r="C3" s="1"/>
      <c r="D3" s="211" t="s">
        <v>112</v>
      </c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3"/>
      <c r="P3" s="3"/>
    </row>
    <row r="4" spans="2:19" s="2" customFormat="1" ht="20">
      <c r="B4" s="1"/>
      <c r="C4" s="1"/>
      <c r="D4" s="211" t="s">
        <v>114</v>
      </c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3"/>
      <c r="P4" s="3"/>
    </row>
    <row r="5" spans="2:19" s="2" customFormat="1" ht="12.5">
      <c r="B5" s="1"/>
      <c r="C5" s="1"/>
      <c r="N5" s="3"/>
      <c r="O5" s="3"/>
      <c r="P5" s="3"/>
    </row>
    <row r="6" spans="2:19" s="2" customFormat="1" ht="12.5">
      <c r="B6" s="1"/>
      <c r="C6" s="1"/>
      <c r="N6" s="3"/>
      <c r="O6" s="212" t="s">
        <v>1</v>
      </c>
      <c r="P6" s="212"/>
      <c r="Q6" s="212"/>
      <c r="R6" s="212"/>
    </row>
    <row r="7" spans="2:19" s="2" customFormat="1" ht="12.5">
      <c r="B7" s="1"/>
      <c r="C7" s="1"/>
      <c r="N7" s="3"/>
      <c r="O7" s="3"/>
      <c r="P7" s="3"/>
    </row>
    <row r="8" spans="2:19" s="4" customFormat="1" ht="27" customHeight="1">
      <c r="B8" s="222" t="s">
        <v>59</v>
      </c>
      <c r="C8" s="222" t="s">
        <v>72</v>
      </c>
      <c r="D8" s="204" t="s">
        <v>73</v>
      </c>
      <c r="E8" s="204" t="s">
        <v>8</v>
      </c>
      <c r="F8" s="204" t="s">
        <v>9</v>
      </c>
      <c r="G8" s="213" t="s">
        <v>69</v>
      </c>
      <c r="H8" s="213"/>
      <c r="I8" s="89" t="s">
        <v>4</v>
      </c>
      <c r="J8" s="214" t="s">
        <v>5</v>
      </c>
      <c r="K8" s="215"/>
      <c r="L8" s="215"/>
      <c r="M8" s="216"/>
      <c r="N8" s="217" t="s">
        <v>63</v>
      </c>
      <c r="O8" s="219" t="s">
        <v>60</v>
      </c>
      <c r="P8" s="220"/>
      <c r="Q8" s="221"/>
      <c r="R8" s="90" t="s">
        <v>6</v>
      </c>
    </row>
    <row r="9" spans="2:19" s="4" customFormat="1" ht="26.4" customHeight="1">
      <c r="B9" s="223"/>
      <c r="C9" s="223"/>
      <c r="D9" s="205"/>
      <c r="E9" s="205"/>
      <c r="F9" s="205"/>
      <c r="G9" s="89" t="s">
        <v>10</v>
      </c>
      <c r="H9" s="89" t="s">
        <v>11</v>
      </c>
      <c r="I9" s="49" t="s">
        <v>14</v>
      </c>
      <c r="J9" s="89" t="s">
        <v>64</v>
      </c>
      <c r="K9" s="53" t="s">
        <v>15</v>
      </c>
      <c r="L9" s="49" t="s">
        <v>67</v>
      </c>
      <c r="M9" s="89" t="s">
        <v>16</v>
      </c>
      <c r="N9" s="218"/>
      <c r="O9" s="50" t="s">
        <v>68</v>
      </c>
      <c r="P9" s="51" t="s">
        <v>61</v>
      </c>
      <c r="Q9" s="51" t="s">
        <v>62</v>
      </c>
      <c r="R9" s="52" t="s">
        <v>17</v>
      </c>
    </row>
    <row r="10" spans="2:19" s="6" customFormat="1" ht="36.75" customHeight="1" thickBot="1">
      <c r="B10" s="59"/>
      <c r="C10" s="59" t="s">
        <v>70</v>
      </c>
      <c r="D10" s="59"/>
      <c r="I10" s="7"/>
      <c r="N10" s="8"/>
      <c r="O10" s="9"/>
      <c r="P10" s="9"/>
    </row>
    <row r="11" spans="2:19" s="6" customFormat="1" ht="32.4" hidden="1" customHeight="1" thickTop="1">
      <c r="B11" s="111" t="s">
        <v>78</v>
      </c>
      <c r="C11" s="112" t="s">
        <v>79</v>
      </c>
      <c r="D11" s="64" t="s">
        <v>85</v>
      </c>
      <c r="E11" s="65"/>
      <c r="F11" s="65"/>
      <c r="G11" s="66"/>
      <c r="H11" s="66">
        <v>0</v>
      </c>
      <c r="I11" s="67">
        <f t="shared" ref="I11:I13" si="0">SUM(H11:H11)</f>
        <v>0</v>
      </c>
      <c r="J11" s="144">
        <v>0</v>
      </c>
      <c r="K11" s="66">
        <v>0</v>
      </c>
      <c r="L11" s="66">
        <v>0</v>
      </c>
      <c r="M11" s="66">
        <f>SUM(J11:L11)</f>
        <v>0</v>
      </c>
      <c r="N11" s="110">
        <f>+I11-M11</f>
        <v>0</v>
      </c>
      <c r="O11" s="106">
        <v>0</v>
      </c>
      <c r="P11" s="68">
        <v>0</v>
      </c>
      <c r="Q11" s="66">
        <v>0</v>
      </c>
      <c r="R11" s="69">
        <f>SUM(O11:Q11)</f>
        <v>0</v>
      </c>
      <c r="S11" s="10"/>
    </row>
    <row r="12" spans="2:19" s="6" customFormat="1" ht="32.4" hidden="1" customHeight="1" thickBot="1">
      <c r="B12" s="155"/>
      <c r="C12" s="156"/>
      <c r="D12" s="157"/>
      <c r="E12" s="158"/>
      <c r="F12" s="158"/>
      <c r="G12" s="159"/>
      <c r="H12" s="159"/>
      <c r="I12" s="160"/>
      <c r="J12" s="159"/>
      <c r="K12" s="159"/>
      <c r="L12" s="159"/>
      <c r="M12" s="159"/>
      <c r="N12" s="161"/>
      <c r="O12" s="125"/>
      <c r="P12" s="126"/>
      <c r="Q12" s="124"/>
      <c r="R12" s="127"/>
      <c r="S12" s="10"/>
    </row>
    <row r="13" spans="2:19" s="6" customFormat="1" ht="30" customHeight="1" thickTop="1">
      <c r="B13" s="177" t="s">
        <v>86</v>
      </c>
      <c r="C13" s="178" t="s">
        <v>81</v>
      </c>
      <c r="D13" s="179" t="s">
        <v>82</v>
      </c>
      <c r="E13" s="180"/>
      <c r="F13" s="180"/>
      <c r="G13" s="181"/>
      <c r="H13" s="181">
        <v>7384.35</v>
      </c>
      <c r="I13" s="182">
        <f t="shared" si="0"/>
        <v>7384.35</v>
      </c>
      <c r="J13" s="181">
        <v>939.08</v>
      </c>
      <c r="K13" s="181">
        <v>0</v>
      </c>
      <c r="L13" s="181">
        <v>0</v>
      </c>
      <c r="M13" s="181">
        <f>SUM(J13:L13)</f>
        <v>939.08</v>
      </c>
      <c r="N13" s="183">
        <f>+I13-M13</f>
        <v>6445.27</v>
      </c>
      <c r="O13" s="107"/>
      <c r="P13" s="58"/>
      <c r="Q13" s="56"/>
      <c r="R13" s="71"/>
      <c r="S13" s="10"/>
    </row>
    <row r="14" spans="2:19" s="6" customFormat="1" ht="30" customHeight="1">
      <c r="B14" s="184" t="s">
        <v>90</v>
      </c>
      <c r="C14" s="185" t="s">
        <v>91</v>
      </c>
      <c r="D14" s="186" t="s">
        <v>92</v>
      </c>
      <c r="E14" s="187"/>
      <c r="F14" s="187"/>
      <c r="G14" s="188"/>
      <c r="H14" s="188">
        <v>4000</v>
      </c>
      <c r="I14" s="189">
        <f t="shared" ref="I14:I15" si="1">SUM(H14:H14)</f>
        <v>4000</v>
      </c>
      <c r="J14" s="190">
        <v>313.87</v>
      </c>
      <c r="K14" s="188">
        <v>0</v>
      </c>
      <c r="L14" s="188">
        <v>0</v>
      </c>
      <c r="M14" s="188">
        <f>SUM(J14:L14)</f>
        <v>313.87</v>
      </c>
      <c r="N14" s="191">
        <f>+I14-M14</f>
        <v>3686.13</v>
      </c>
      <c r="O14" s="108"/>
      <c r="P14" s="104"/>
      <c r="Q14" s="103"/>
      <c r="R14" s="105"/>
      <c r="S14" s="10"/>
    </row>
    <row r="15" spans="2:19" s="6" customFormat="1" ht="30" customHeight="1">
      <c r="B15" s="184" t="s">
        <v>100</v>
      </c>
      <c r="C15" s="192" t="s">
        <v>108</v>
      </c>
      <c r="D15" s="186" t="s">
        <v>101</v>
      </c>
      <c r="E15" s="187"/>
      <c r="F15" s="187"/>
      <c r="G15" s="188"/>
      <c r="H15" s="188">
        <v>3500</v>
      </c>
      <c r="I15" s="189">
        <f t="shared" si="1"/>
        <v>3500</v>
      </c>
      <c r="J15" s="190">
        <v>259.47000000000003</v>
      </c>
      <c r="K15" s="188">
        <v>0</v>
      </c>
      <c r="L15" s="188">
        <v>0</v>
      </c>
      <c r="M15" s="188">
        <f>SUM(J15:L15)</f>
        <v>259.47000000000003</v>
      </c>
      <c r="N15" s="191">
        <f>+I15-M15</f>
        <v>3240.5299999999997</v>
      </c>
      <c r="O15" s="108"/>
      <c r="P15" s="104"/>
      <c r="Q15" s="103"/>
      <c r="R15" s="105"/>
      <c r="S15" s="10"/>
    </row>
    <row r="16" spans="2:19" s="6" customFormat="1" ht="28" customHeight="1" thickBot="1">
      <c r="B16" s="193" t="s">
        <v>105</v>
      </c>
      <c r="C16" s="194" t="s">
        <v>109</v>
      </c>
      <c r="D16" s="195" t="s">
        <v>104</v>
      </c>
      <c r="E16" s="196"/>
      <c r="F16" s="196"/>
      <c r="G16" s="197"/>
      <c r="H16" s="198">
        <v>5000</v>
      </c>
      <c r="I16" s="189">
        <f t="shared" ref="I16" si="2">SUM(H16:H16)</f>
        <v>5000</v>
      </c>
      <c r="J16" s="190">
        <v>461.64</v>
      </c>
      <c r="K16" s="188">
        <v>0</v>
      </c>
      <c r="L16" s="188">
        <v>0</v>
      </c>
      <c r="M16" s="188">
        <f t="shared" ref="M16" si="3">SUM(J16:L16)</f>
        <v>461.64</v>
      </c>
      <c r="N16" s="191">
        <f t="shared" ref="N16" si="4">+I16-M16</f>
        <v>4538.3599999999997</v>
      </c>
      <c r="O16" s="108"/>
      <c r="P16" s="104"/>
      <c r="Q16" s="103"/>
      <c r="R16" s="105"/>
      <c r="S16" s="10"/>
    </row>
    <row r="17" spans="2:19" s="22" customFormat="1" ht="17.5" thickTop="1" thickBot="1">
      <c r="B17" s="117"/>
      <c r="C17" s="118"/>
      <c r="D17" s="119" t="s">
        <v>21</v>
      </c>
      <c r="E17" s="120"/>
      <c r="F17" s="120"/>
      <c r="G17" s="121"/>
      <c r="H17" s="121">
        <f t="shared" ref="H17:N17" si="5">SUM(H11:H16)</f>
        <v>19884.349999999999</v>
      </c>
      <c r="I17" s="122">
        <f t="shared" si="5"/>
        <v>19884.349999999999</v>
      </c>
      <c r="J17" s="121">
        <f t="shared" si="5"/>
        <v>1974.06</v>
      </c>
      <c r="K17" s="121">
        <f t="shared" si="5"/>
        <v>0</v>
      </c>
      <c r="L17" s="121">
        <f t="shared" si="5"/>
        <v>0</v>
      </c>
      <c r="M17" s="121">
        <f t="shared" si="5"/>
        <v>1974.06</v>
      </c>
      <c r="N17" s="123">
        <f t="shared" si="5"/>
        <v>17910.29</v>
      </c>
      <c r="O17" s="109">
        <f>SUM(O11:O13)+0</f>
        <v>0</v>
      </c>
      <c r="P17" s="75">
        <f>SUM(P11:P13)</f>
        <v>0</v>
      </c>
      <c r="Q17" s="75">
        <f>SUM(Q11:Q13)</f>
        <v>0</v>
      </c>
      <c r="R17" s="77">
        <f>SUM(R11:R13)</f>
        <v>0</v>
      </c>
      <c r="S17" s="21"/>
    </row>
    <row r="18" spans="2:19" s="22" customFormat="1" ht="20.149999999999999" customHeight="1" thickTop="1">
      <c r="B18" s="23"/>
      <c r="C18" s="23"/>
      <c r="D18" s="24"/>
      <c r="E18" s="91"/>
      <c r="F18" s="91"/>
      <c r="G18" s="21"/>
      <c r="H18" s="21"/>
      <c r="I18" s="26"/>
      <c r="J18" s="21"/>
      <c r="K18" s="21"/>
      <c r="L18" s="21"/>
      <c r="M18" s="21"/>
      <c r="N18" s="27"/>
      <c r="O18" s="28"/>
      <c r="P18" s="28"/>
      <c r="Q18" s="21"/>
      <c r="R18" s="21"/>
      <c r="S18" s="21"/>
    </row>
    <row r="19" spans="2:19" s="6" customFormat="1" ht="15.5">
      <c r="B19" s="5"/>
      <c r="C19" s="5"/>
      <c r="F19" s="94"/>
      <c r="G19" s="10"/>
      <c r="H19" s="10"/>
      <c r="I19" s="30"/>
      <c r="J19" s="10"/>
      <c r="K19" s="10"/>
      <c r="L19" s="10"/>
      <c r="M19" s="10"/>
      <c r="N19" s="8"/>
      <c r="O19" s="9"/>
      <c r="P19" s="9"/>
      <c r="Q19" s="10"/>
      <c r="R19" s="10"/>
      <c r="S19" s="10"/>
    </row>
    <row r="20" spans="2:19" s="4" customFormat="1" ht="15.5">
      <c r="B20" s="31"/>
      <c r="C20" s="31"/>
      <c r="D20" s="32"/>
      <c r="F20" s="92"/>
      <c r="G20" s="34" t="s">
        <v>44</v>
      </c>
      <c r="H20" s="35">
        <f>+H17</f>
        <v>19884.349999999999</v>
      </c>
      <c r="I20" s="35">
        <f>+I17</f>
        <v>19884.349999999999</v>
      </c>
      <c r="J20" s="35">
        <f>+J17</f>
        <v>1974.06</v>
      </c>
      <c r="K20" s="35">
        <f>+K17</f>
        <v>0</v>
      </c>
      <c r="L20" s="35">
        <f t="shared" ref="L20:M20" si="6">+L17</f>
        <v>0</v>
      </c>
      <c r="M20" s="35">
        <f t="shared" si="6"/>
        <v>1974.06</v>
      </c>
      <c r="N20" s="36">
        <f>+N17</f>
        <v>17910.29</v>
      </c>
      <c r="O20" s="35" t="e">
        <f>+#REF!+#REF!+O17+#REF!+#REF!+0</f>
        <v>#REF!</v>
      </c>
      <c r="P20" s="35" t="e">
        <f>+#REF!+#REF!+P17+#REF!+#REF!+0</f>
        <v>#REF!</v>
      </c>
      <c r="Q20" s="35" t="e">
        <f>+#REF!+#REF!+Q17+#REF!+#REF!</f>
        <v>#REF!</v>
      </c>
      <c r="R20" s="35" t="e">
        <f>+#REF!+#REF!+R17+#REF!+#REF!</f>
        <v>#REF!</v>
      </c>
      <c r="S20" s="37"/>
    </row>
    <row r="21" spans="2:19" s="6" customFormat="1" ht="20.149999999999999" customHeight="1">
      <c r="G21" s="10"/>
      <c r="H21" s="10"/>
      <c r="I21" s="10"/>
      <c r="J21" s="10"/>
      <c r="K21" s="10"/>
      <c r="L21" s="10"/>
      <c r="M21" s="10"/>
      <c r="N21" s="9"/>
      <c r="O21" s="9"/>
      <c r="P21" s="9"/>
      <c r="Q21" s="10"/>
      <c r="R21" s="10"/>
      <c r="S21" s="10"/>
    </row>
    <row r="22" spans="2:19" s="6" customFormat="1" ht="15.5">
      <c r="G22" s="10"/>
      <c r="H22" s="10"/>
      <c r="I22" s="10"/>
      <c r="J22" s="10"/>
      <c r="K22" s="10"/>
      <c r="L22" s="10"/>
      <c r="M22" s="95"/>
      <c r="N22" s="28"/>
      <c r="O22" s="9"/>
      <c r="P22" s="9"/>
      <c r="Q22" s="10"/>
      <c r="R22" s="10"/>
      <c r="S22" s="10"/>
    </row>
    <row r="23" spans="2:19" s="6" customFormat="1" ht="15.5">
      <c r="G23" s="10"/>
      <c r="H23" s="10"/>
      <c r="I23" s="10"/>
      <c r="J23" s="10"/>
      <c r="K23" s="10"/>
      <c r="L23" s="10"/>
      <c r="M23" s="95"/>
      <c r="N23" s="28"/>
      <c r="O23" s="9"/>
      <c r="P23" s="9"/>
      <c r="Q23" s="10"/>
      <c r="R23" s="10"/>
      <c r="S23" s="10"/>
    </row>
    <row r="24" spans="2:19" s="6" customFormat="1" ht="15.5">
      <c r="B24" s="6" t="s">
        <v>75</v>
      </c>
      <c r="G24" s="10"/>
      <c r="H24" s="10"/>
      <c r="I24" s="10"/>
      <c r="J24" s="10"/>
      <c r="K24" s="10"/>
      <c r="L24" s="10"/>
      <c r="M24" s="95"/>
      <c r="N24" s="28"/>
      <c r="O24" s="9"/>
      <c r="P24" s="9"/>
      <c r="Q24" s="10"/>
      <c r="R24" s="10"/>
      <c r="S24" s="10"/>
    </row>
    <row r="25" spans="2:19" s="6" customFormat="1" ht="15.5">
      <c r="B25" s="5"/>
      <c r="C25" s="5"/>
      <c r="G25" s="10"/>
      <c r="H25" s="10"/>
      <c r="I25" s="10"/>
      <c r="J25" s="10"/>
      <c r="K25" s="10"/>
      <c r="L25" s="10"/>
      <c r="M25" s="10"/>
      <c r="N25" s="9"/>
      <c r="O25" s="9"/>
      <c r="P25" s="9"/>
      <c r="Q25" s="10"/>
      <c r="R25" s="10"/>
      <c r="S25" s="10"/>
    </row>
    <row r="26" spans="2:19" s="6" customFormat="1" ht="15.5">
      <c r="B26" s="5"/>
      <c r="C26" s="5"/>
      <c r="D26" s="207"/>
      <c r="E26" s="207"/>
      <c r="F26" s="207"/>
      <c r="G26" s="207"/>
      <c r="H26" s="207"/>
      <c r="I26" s="207"/>
      <c r="J26" s="207"/>
      <c r="K26" s="207"/>
      <c r="L26" s="207"/>
      <c r="M26" s="10"/>
      <c r="N26" s="9"/>
      <c r="O26" s="9"/>
      <c r="P26" s="9"/>
      <c r="Q26" s="10"/>
      <c r="R26" s="10"/>
      <c r="S26" s="10"/>
    </row>
    <row r="27" spans="2:19" s="6" customFormat="1" ht="15.5">
      <c r="B27" s="5"/>
      <c r="C27" s="5"/>
      <c r="G27" s="10"/>
      <c r="H27" s="10"/>
      <c r="I27" s="10"/>
      <c r="J27" s="10"/>
      <c r="K27" s="10"/>
      <c r="L27" s="10"/>
      <c r="M27" s="39"/>
      <c r="N27" s="9"/>
      <c r="O27" s="9"/>
      <c r="P27" s="10"/>
      <c r="Q27" s="10"/>
      <c r="R27" s="10"/>
    </row>
    <row r="28" spans="2:19" s="6" customFormat="1" ht="15.5">
      <c r="B28" s="5"/>
      <c r="C28" s="5"/>
      <c r="G28" s="10"/>
      <c r="H28" s="10"/>
      <c r="I28" s="10"/>
      <c r="J28" s="10"/>
      <c r="K28" s="10"/>
      <c r="L28" s="10"/>
      <c r="M28" s="39"/>
      <c r="N28" s="9"/>
      <c r="O28" s="9"/>
      <c r="P28" s="10"/>
      <c r="Q28" s="10"/>
      <c r="R28" s="10"/>
    </row>
    <row r="29" spans="2:19" s="6" customFormat="1" ht="15.5">
      <c r="B29" s="5"/>
      <c r="C29" s="5"/>
      <c r="G29" s="10"/>
      <c r="H29" s="10"/>
      <c r="I29" s="10"/>
      <c r="J29" s="10"/>
      <c r="K29" s="10"/>
      <c r="L29" s="10"/>
      <c r="M29" s="39"/>
      <c r="N29" s="9"/>
      <c r="O29" s="9"/>
      <c r="P29" s="10"/>
      <c r="Q29" s="10"/>
      <c r="R29" s="10"/>
    </row>
    <row r="30" spans="2:19" s="6" customFormat="1" ht="15.5">
      <c r="C30" s="40"/>
      <c r="F30" s="41"/>
      <c r="G30" s="42"/>
      <c r="H30" s="99"/>
      <c r="I30" s="99"/>
      <c r="J30" s="44"/>
      <c r="K30" s="44"/>
      <c r="L30" s="99"/>
      <c r="M30" s="99"/>
      <c r="N30" s="99"/>
      <c r="O30" s="99"/>
      <c r="P30" s="99"/>
      <c r="Q30" s="10"/>
      <c r="R30" s="10"/>
    </row>
    <row r="31" spans="2:19" s="6" customFormat="1" ht="15.5">
      <c r="C31" s="93" t="s">
        <v>50</v>
      </c>
      <c r="F31" s="96"/>
      <c r="G31" s="96"/>
      <c r="H31" s="208" t="s">
        <v>51</v>
      </c>
      <c r="I31" s="208"/>
      <c r="J31" s="43"/>
      <c r="K31" s="43"/>
      <c r="L31" s="43"/>
      <c r="M31" s="200" t="s">
        <v>52</v>
      </c>
      <c r="N31" s="200"/>
      <c r="O31" s="98"/>
      <c r="P31" s="98"/>
      <c r="Q31" s="10"/>
      <c r="R31" s="10"/>
    </row>
    <row r="32" spans="2:19" s="6" customFormat="1" ht="15.5">
      <c r="C32" s="100" t="s">
        <v>53</v>
      </c>
      <c r="F32" s="45"/>
      <c r="G32" s="45"/>
      <c r="H32" s="224" t="s">
        <v>54</v>
      </c>
      <c r="I32" s="224"/>
      <c r="J32" s="97"/>
      <c r="K32" s="97"/>
      <c r="L32" s="97"/>
      <c r="M32" s="201" t="s">
        <v>55</v>
      </c>
      <c r="N32" s="201"/>
      <c r="O32" s="97"/>
      <c r="P32" s="97"/>
      <c r="Q32" s="10"/>
      <c r="R32" s="10"/>
    </row>
    <row r="33" spans="3:16" s="6" customFormat="1" ht="15.5">
      <c r="C33" s="94" t="s">
        <v>56</v>
      </c>
      <c r="F33" s="45"/>
      <c r="G33" s="45"/>
      <c r="H33" s="201" t="s">
        <v>57</v>
      </c>
      <c r="I33" s="201"/>
      <c r="J33" s="97"/>
      <c r="K33" s="97"/>
      <c r="L33" s="97"/>
      <c r="M33" s="201" t="s">
        <v>58</v>
      </c>
      <c r="N33" s="201"/>
      <c r="O33" s="97"/>
      <c r="P33" s="97"/>
    </row>
  </sheetData>
  <mergeCells count="20">
    <mergeCell ref="M33:N33"/>
    <mergeCell ref="B1:N1"/>
    <mergeCell ref="D4:N4"/>
    <mergeCell ref="D3:N3"/>
    <mergeCell ref="H31:I31"/>
    <mergeCell ref="H32:I32"/>
    <mergeCell ref="H33:I33"/>
    <mergeCell ref="M31:N31"/>
    <mergeCell ref="M32:N32"/>
    <mergeCell ref="J8:M8"/>
    <mergeCell ref="N8:N9"/>
    <mergeCell ref="C8:C9"/>
    <mergeCell ref="O8:Q8"/>
    <mergeCell ref="D26:L26"/>
    <mergeCell ref="O6:R6"/>
    <mergeCell ref="B8:B9"/>
    <mergeCell ref="D8:D9"/>
    <mergeCell ref="E8:E9"/>
    <mergeCell ref="F8:F9"/>
    <mergeCell ref="G8:H8"/>
  </mergeCells>
  <printOptions horizontalCentered="1"/>
  <pageMargins left="0.7" right="0.7" top="0.75" bottom="0.75" header="0.3" footer="0.3"/>
  <pageSetup scale="6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18"/>
  <sheetViews>
    <sheetView workbookViewId="0">
      <selection activeCell="M12" sqref="M12"/>
    </sheetView>
  </sheetViews>
  <sheetFormatPr baseColWidth="10" defaultRowHeight="14.5"/>
  <cols>
    <col min="1" max="1" width="6.36328125" customWidth="1"/>
    <col min="2" max="2" width="2.54296875" customWidth="1"/>
    <col min="3" max="3" width="28.08984375" customWidth="1"/>
    <col min="4" max="5" width="3" customWidth="1"/>
    <col min="6" max="6" width="15.453125" customWidth="1"/>
    <col min="7" max="8" width="13.90625" customWidth="1"/>
  </cols>
  <sheetData>
    <row r="2" spans="3:13" ht="15.5">
      <c r="C2" s="23"/>
    </row>
    <row r="5" spans="3:13">
      <c r="F5" s="80" t="s">
        <v>65</v>
      </c>
      <c r="G5" s="80" t="s">
        <v>66</v>
      </c>
      <c r="I5" s="80" t="s">
        <v>65</v>
      </c>
      <c r="J5" s="80" t="s">
        <v>66</v>
      </c>
      <c r="L5" s="80" t="s">
        <v>65</v>
      </c>
      <c r="M5" s="80" t="s">
        <v>66</v>
      </c>
    </row>
    <row r="6" spans="3:13">
      <c r="F6">
        <v>11</v>
      </c>
      <c r="G6" s="81">
        <f>+F6*15/11</f>
        <v>15</v>
      </c>
      <c r="I6">
        <v>10</v>
      </c>
      <c r="J6" s="81">
        <f>+I6*15/10</f>
        <v>15</v>
      </c>
      <c r="L6">
        <v>12</v>
      </c>
      <c r="M6" s="81">
        <f>+L6*15/12</f>
        <v>15</v>
      </c>
    </row>
    <row r="7" spans="3:13">
      <c r="F7">
        <v>10</v>
      </c>
      <c r="G7" s="81">
        <f t="shared" ref="G7:G17" si="0">+F7*15/11</f>
        <v>13.636363636363637</v>
      </c>
      <c r="I7">
        <v>9</v>
      </c>
      <c r="J7" s="81">
        <f t="shared" ref="J7:J17" si="1">+I7*15/10</f>
        <v>13.5</v>
      </c>
      <c r="L7">
        <v>11</v>
      </c>
      <c r="M7" s="81">
        <f t="shared" ref="M7:M18" si="2">+L7*15/12</f>
        <v>13.75</v>
      </c>
    </row>
    <row r="8" spans="3:13">
      <c r="F8">
        <v>9</v>
      </c>
      <c r="G8" s="81">
        <f t="shared" si="0"/>
        <v>12.272727272727273</v>
      </c>
      <c r="I8" s="82">
        <v>8</v>
      </c>
      <c r="J8" s="83">
        <f t="shared" si="1"/>
        <v>12</v>
      </c>
      <c r="L8">
        <v>10</v>
      </c>
      <c r="M8" s="81">
        <f t="shared" si="2"/>
        <v>12.5</v>
      </c>
    </row>
    <row r="9" spans="3:13">
      <c r="F9" s="84">
        <v>8</v>
      </c>
      <c r="G9" s="85">
        <f t="shared" si="0"/>
        <v>10.909090909090908</v>
      </c>
      <c r="H9" s="86"/>
      <c r="I9" s="139">
        <v>7</v>
      </c>
      <c r="J9" s="140">
        <f t="shared" si="1"/>
        <v>10.5</v>
      </c>
      <c r="L9" s="84">
        <v>9</v>
      </c>
      <c r="M9" s="81">
        <f t="shared" si="2"/>
        <v>11.25</v>
      </c>
    </row>
    <row r="10" spans="3:13">
      <c r="F10" s="86">
        <v>7</v>
      </c>
      <c r="G10" s="87">
        <f t="shared" si="0"/>
        <v>9.545454545454545</v>
      </c>
      <c r="H10" s="86"/>
      <c r="I10" s="84">
        <v>6</v>
      </c>
      <c r="J10" s="81">
        <f t="shared" si="1"/>
        <v>9</v>
      </c>
      <c r="L10" s="86">
        <v>8</v>
      </c>
      <c r="M10" s="81">
        <f t="shared" si="2"/>
        <v>10</v>
      </c>
    </row>
    <row r="11" spans="3:13">
      <c r="F11" s="86">
        <v>6</v>
      </c>
      <c r="G11" s="87">
        <f t="shared" si="0"/>
        <v>8.1818181818181817</v>
      </c>
      <c r="H11" s="86"/>
      <c r="I11" s="84">
        <v>5</v>
      </c>
      <c r="J11" s="81">
        <f t="shared" si="1"/>
        <v>7.5</v>
      </c>
      <c r="L11" s="86">
        <v>7</v>
      </c>
      <c r="M11" s="81">
        <f t="shared" si="2"/>
        <v>8.75</v>
      </c>
    </row>
    <row r="12" spans="3:13">
      <c r="F12" s="86">
        <v>5</v>
      </c>
      <c r="G12" s="87">
        <f t="shared" si="0"/>
        <v>6.8181818181818183</v>
      </c>
      <c r="H12" s="86"/>
      <c r="I12">
        <v>4</v>
      </c>
      <c r="J12" s="81">
        <f t="shared" si="1"/>
        <v>6</v>
      </c>
      <c r="L12" s="86">
        <v>6</v>
      </c>
      <c r="M12" s="81">
        <f t="shared" si="2"/>
        <v>7.5</v>
      </c>
    </row>
    <row r="13" spans="3:13">
      <c r="F13">
        <v>4</v>
      </c>
      <c r="G13" s="81">
        <f t="shared" si="0"/>
        <v>5.4545454545454541</v>
      </c>
      <c r="I13">
        <v>3</v>
      </c>
      <c r="J13" s="81">
        <f t="shared" si="1"/>
        <v>4.5</v>
      </c>
      <c r="L13">
        <v>5</v>
      </c>
      <c r="M13" s="81">
        <f t="shared" si="2"/>
        <v>6.25</v>
      </c>
    </row>
    <row r="14" spans="3:13">
      <c r="F14">
        <v>3</v>
      </c>
      <c r="G14" s="81">
        <f t="shared" si="0"/>
        <v>4.0909090909090908</v>
      </c>
      <c r="I14">
        <v>2</v>
      </c>
      <c r="J14" s="81">
        <f t="shared" si="1"/>
        <v>3</v>
      </c>
      <c r="L14">
        <v>4</v>
      </c>
      <c r="M14" s="81">
        <f t="shared" si="2"/>
        <v>5</v>
      </c>
    </row>
    <row r="15" spans="3:13">
      <c r="F15">
        <v>2</v>
      </c>
      <c r="G15" s="81">
        <f t="shared" si="0"/>
        <v>2.7272727272727271</v>
      </c>
      <c r="I15">
        <v>1</v>
      </c>
      <c r="J15" s="81">
        <f>+I15*15/10</f>
        <v>1.5</v>
      </c>
      <c r="L15">
        <v>3</v>
      </c>
      <c r="M15" s="81">
        <f t="shared" si="2"/>
        <v>3.75</v>
      </c>
    </row>
    <row r="16" spans="3:13">
      <c r="F16">
        <v>1</v>
      </c>
      <c r="G16" s="81">
        <f t="shared" si="0"/>
        <v>1.3636363636363635</v>
      </c>
      <c r="I16">
        <v>0</v>
      </c>
      <c r="J16" s="81">
        <f t="shared" si="1"/>
        <v>0</v>
      </c>
      <c r="L16">
        <v>2</v>
      </c>
      <c r="M16" s="81">
        <f t="shared" si="2"/>
        <v>2.5</v>
      </c>
    </row>
    <row r="17" spans="6:13">
      <c r="F17">
        <v>0</v>
      </c>
      <c r="G17" s="81">
        <f t="shared" si="0"/>
        <v>0</v>
      </c>
      <c r="I17">
        <v>0</v>
      </c>
      <c r="J17" s="81">
        <f t="shared" si="1"/>
        <v>0</v>
      </c>
      <c r="L17">
        <v>1</v>
      </c>
      <c r="M17" s="81">
        <f t="shared" si="2"/>
        <v>1.25</v>
      </c>
    </row>
    <row r="18" spans="6:13">
      <c r="L18">
        <v>0</v>
      </c>
      <c r="M18" s="81">
        <f t="shared" si="2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NOMINA</vt:lpstr>
      <vt:lpstr>NOMINA (2)</vt:lpstr>
      <vt:lpstr>ASIMILADOS</vt:lpstr>
      <vt:lpstr>Hoja2</vt:lpstr>
      <vt:lpstr>ASIMILADOS!Área_de_impresión</vt:lpstr>
      <vt:lpstr>NOMINA!Área_de_impresión</vt:lpstr>
      <vt:lpstr>'NOMINA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Julieta</dc:creator>
  <cp:lastModifiedBy>Julieta</cp:lastModifiedBy>
  <cp:lastPrinted>2018-11-12T23:04:35Z</cp:lastPrinted>
  <dcterms:created xsi:type="dcterms:W3CDTF">2014-08-15T19:00:53Z</dcterms:created>
  <dcterms:modified xsi:type="dcterms:W3CDTF">2018-11-12T23:04:37Z</dcterms:modified>
</cp:coreProperties>
</file>