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 ADMIN\Dropbox\transparencia 2016\"/>
    </mc:Choice>
  </mc:AlternateContent>
  <bookViews>
    <workbookView xWindow="0" yWindow="0" windowWidth="28800" windowHeight="12300"/>
  </bookViews>
  <sheets>
    <sheet name="PLANTILLA" sheetId="1" r:id="rId1"/>
  </sheets>
  <definedNames>
    <definedName name="_xlnm.Print_Area" localSheetId="0">PLANTILLA!$A$1:$AC$94</definedName>
    <definedName name="_xlnm.Print_Titles" localSheetId="0">PLANTILLA!$1:$5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4" i="1" l="1"/>
  <c r="AE93" i="1"/>
  <c r="AE75" i="1"/>
  <c r="AE74" i="1"/>
  <c r="AE73" i="1"/>
  <c r="AB73" i="1"/>
  <c r="T73" i="1" s="1"/>
  <c r="Z73" i="1"/>
  <c r="Q73" i="1"/>
  <c r="AE72" i="1"/>
  <c r="Z72" i="1"/>
  <c r="Q72" i="1"/>
  <c r="AE71" i="1"/>
  <c r="AB71" i="1"/>
  <c r="T71" i="1"/>
  <c r="Q71" i="1"/>
  <c r="AE70" i="1"/>
  <c r="Z70" i="1"/>
  <c r="Q70" i="1"/>
  <c r="AE69" i="1"/>
  <c r="AB69" i="1"/>
  <c r="Q69" i="1"/>
  <c r="AE68" i="1"/>
  <c r="Z68" i="1"/>
  <c r="Q68" i="1"/>
  <c r="AE67" i="1"/>
  <c r="AA66" i="1" s="1"/>
  <c r="AB67" i="1"/>
  <c r="T67" i="1"/>
  <c r="Q67" i="1"/>
  <c r="AE66" i="1"/>
  <c r="Z66" i="1"/>
  <c r="Q66" i="1"/>
  <c r="AE65" i="1"/>
  <c r="AB65" i="1"/>
  <c r="T65" i="1" s="1"/>
  <c r="Q65" i="1"/>
  <c r="AE64" i="1"/>
  <c r="AB64" i="1"/>
  <c r="T64" i="1" s="1"/>
  <c r="Z64" i="1"/>
  <c r="Q64" i="1"/>
  <c r="AE63" i="1"/>
  <c r="Z63" i="1"/>
  <c r="Q63" i="1"/>
  <c r="AE62" i="1"/>
  <c r="AB62" i="1"/>
  <c r="T62" i="1"/>
  <c r="Q62" i="1"/>
  <c r="AE61" i="1"/>
  <c r="Z61" i="1"/>
  <c r="Q61" i="1"/>
  <c r="AE60" i="1"/>
  <c r="AB60" i="1"/>
  <c r="T60" i="1" s="1"/>
  <c r="Q60" i="1"/>
  <c r="AE59" i="1"/>
  <c r="Z59" i="1"/>
  <c r="Q59" i="1"/>
  <c r="AE58" i="1"/>
  <c r="AB58" i="1"/>
  <c r="T58" i="1" s="1"/>
  <c r="Q58" i="1"/>
  <c r="AG57" i="1"/>
  <c r="AA73" i="1" s="1"/>
  <c r="AF57" i="1"/>
  <c r="AE57" i="1"/>
  <c r="Z57" i="1"/>
  <c r="Q57" i="1"/>
  <c r="AB54" i="1"/>
  <c r="Y54" i="1"/>
  <c r="X54" i="1"/>
  <c r="W54" i="1"/>
  <c r="AC54" i="1" s="1"/>
  <c r="V54" i="1"/>
  <c r="U54" i="1"/>
  <c r="T54" i="1"/>
  <c r="S54" i="1"/>
  <c r="AB53" i="1"/>
  <c r="X53" i="1" s="1"/>
  <c r="Y53" i="1"/>
  <c r="W53" i="1"/>
  <c r="V53" i="1"/>
  <c r="U53" i="1"/>
  <c r="S53" i="1"/>
  <c r="AB52" i="1"/>
  <c r="Y52" i="1"/>
  <c r="X52" i="1"/>
  <c r="W52" i="1"/>
  <c r="AC52" i="1" s="1"/>
  <c r="V52" i="1"/>
  <c r="U52" i="1"/>
  <c r="T52" i="1"/>
  <c r="S52" i="1"/>
  <c r="AB51" i="1"/>
  <c r="X51" i="1" s="1"/>
  <c r="Y51" i="1"/>
  <c r="W51" i="1"/>
  <c r="V51" i="1"/>
  <c r="U51" i="1"/>
  <c r="S51" i="1"/>
  <c r="AB50" i="1"/>
  <c r="Y50" i="1"/>
  <c r="X50" i="1"/>
  <c r="W50" i="1"/>
  <c r="V50" i="1"/>
  <c r="U50" i="1"/>
  <c r="T50" i="1"/>
  <c r="S50" i="1"/>
  <c r="R50" i="1"/>
  <c r="AB49" i="1"/>
  <c r="V49" i="1"/>
  <c r="AB48" i="1"/>
  <c r="X48" i="1"/>
  <c r="T48" i="1"/>
  <c r="AB47" i="1"/>
  <c r="V47" i="1"/>
  <c r="AB46" i="1"/>
  <c r="X46" i="1"/>
  <c r="V46" i="1"/>
  <c r="T46" i="1"/>
  <c r="AB45" i="1"/>
  <c r="V45" i="1" s="1"/>
  <c r="R45" i="1"/>
  <c r="AB44" i="1"/>
  <c r="X44" i="1" s="1"/>
  <c r="Y44" i="1"/>
  <c r="W44" i="1"/>
  <c r="V44" i="1"/>
  <c r="U44" i="1"/>
  <c r="S44" i="1"/>
  <c r="R44" i="1"/>
  <c r="AB43" i="1"/>
  <c r="R43" i="1"/>
  <c r="AB42" i="1"/>
  <c r="Y42" i="1"/>
  <c r="X42" i="1"/>
  <c r="W42" i="1"/>
  <c r="AC42" i="1" s="1"/>
  <c r="V42" i="1"/>
  <c r="U42" i="1"/>
  <c r="T42" i="1"/>
  <c r="S42" i="1"/>
  <c r="AB41" i="1"/>
  <c r="Y41" i="1"/>
  <c r="V41" i="1"/>
  <c r="U41" i="1"/>
  <c r="S41" i="1"/>
  <c r="R41" i="1"/>
  <c r="AB40" i="1"/>
  <c r="X40" i="1" s="1"/>
  <c r="Y40" i="1"/>
  <c r="W40" i="1"/>
  <c r="V40" i="1"/>
  <c r="U40" i="1"/>
  <c r="S40" i="1"/>
  <c r="AB39" i="1"/>
  <c r="Y39" i="1"/>
  <c r="X39" i="1"/>
  <c r="W39" i="1"/>
  <c r="AC39" i="1" s="1"/>
  <c r="V39" i="1"/>
  <c r="U39" i="1"/>
  <c r="T39" i="1"/>
  <c r="S39" i="1"/>
  <c r="AB38" i="1"/>
  <c r="X38" i="1" s="1"/>
  <c r="Y38" i="1"/>
  <c r="W38" i="1"/>
  <c r="V38" i="1"/>
  <c r="U38" i="1"/>
  <c r="S38" i="1"/>
  <c r="AB37" i="1"/>
  <c r="Y37" i="1"/>
  <c r="X37" i="1"/>
  <c r="W37" i="1"/>
  <c r="AC37" i="1" s="1"/>
  <c r="V37" i="1"/>
  <c r="U37" i="1"/>
  <c r="T37" i="1"/>
  <c r="S37" i="1"/>
  <c r="AB36" i="1"/>
  <c r="X36" i="1" s="1"/>
  <c r="Y36" i="1"/>
  <c r="W36" i="1"/>
  <c r="V36" i="1"/>
  <c r="U36" i="1"/>
  <c r="S36" i="1"/>
  <c r="AB35" i="1"/>
  <c r="Y35" i="1"/>
  <c r="X35" i="1"/>
  <c r="W35" i="1"/>
  <c r="V35" i="1"/>
  <c r="U35" i="1"/>
  <c r="T35" i="1"/>
  <c r="S35" i="1"/>
  <c r="R35" i="1"/>
  <c r="AB34" i="1"/>
  <c r="R34" i="1"/>
  <c r="AB33" i="1"/>
  <c r="X33" i="1" s="1"/>
  <c r="Y33" i="1"/>
  <c r="W33" i="1"/>
  <c r="V33" i="1"/>
  <c r="U33" i="1"/>
  <c r="S33" i="1"/>
  <c r="R33" i="1"/>
  <c r="AB32" i="1"/>
  <c r="X32" i="1" s="1"/>
  <c r="V32" i="1"/>
  <c r="AB31" i="1"/>
  <c r="X31" i="1"/>
  <c r="T31" i="1"/>
  <c r="R31" i="1"/>
  <c r="AB30" i="1"/>
  <c r="X30" i="1" s="1"/>
  <c r="Y30" i="1"/>
  <c r="W30" i="1"/>
  <c r="V30" i="1"/>
  <c r="U30" i="1"/>
  <c r="S30" i="1"/>
  <c r="R30" i="1"/>
  <c r="AB29" i="1"/>
  <c r="X29" i="1"/>
  <c r="V29" i="1"/>
  <c r="T29" i="1"/>
  <c r="R29" i="1"/>
  <c r="AB28" i="1"/>
  <c r="Y28" i="1"/>
  <c r="X28" i="1"/>
  <c r="W28" i="1"/>
  <c r="V28" i="1"/>
  <c r="U28" i="1"/>
  <c r="T28" i="1"/>
  <c r="S28" i="1"/>
  <c r="R28" i="1"/>
  <c r="AB27" i="1"/>
  <c r="X27" i="1"/>
  <c r="V27" i="1"/>
  <c r="T27" i="1"/>
  <c r="R27" i="1"/>
  <c r="AB26" i="1"/>
  <c r="X26" i="1" s="1"/>
  <c r="Y26" i="1"/>
  <c r="W26" i="1"/>
  <c r="V26" i="1"/>
  <c r="U26" i="1"/>
  <c r="S26" i="1"/>
  <c r="AA25" i="1"/>
  <c r="Q25" i="1"/>
  <c r="AA24" i="1"/>
  <c r="Z24" i="1"/>
  <c r="Z25" i="1" s="1"/>
  <c r="Q24" i="1"/>
  <c r="AB22" i="1"/>
  <c r="X22" i="1" s="1"/>
  <c r="Y22" i="1"/>
  <c r="W22" i="1"/>
  <c r="V22" i="1"/>
  <c r="U22" i="1"/>
  <c r="S22" i="1"/>
  <c r="R22" i="1"/>
  <c r="AB21" i="1"/>
  <c r="X21" i="1"/>
  <c r="V21" i="1"/>
  <c r="T21" i="1"/>
  <c r="R21" i="1"/>
  <c r="AB20" i="1"/>
  <c r="Y20" i="1"/>
  <c r="X20" i="1"/>
  <c r="W20" i="1"/>
  <c r="AC20" i="1" s="1"/>
  <c r="V20" i="1"/>
  <c r="U20" i="1"/>
  <c r="T20" i="1"/>
  <c r="S20" i="1"/>
  <c r="AB19" i="1"/>
  <c r="X19" i="1" s="1"/>
  <c r="Y19" i="1"/>
  <c r="W19" i="1"/>
  <c r="V19" i="1"/>
  <c r="U19" i="1"/>
  <c r="S19" i="1"/>
  <c r="R19" i="1"/>
  <c r="AB18" i="1"/>
  <c r="R18" i="1"/>
  <c r="AB17" i="1"/>
  <c r="Y17" i="1"/>
  <c r="X17" i="1"/>
  <c r="W17" i="1"/>
  <c r="V17" i="1"/>
  <c r="U17" i="1"/>
  <c r="T17" i="1"/>
  <c r="S17" i="1"/>
  <c r="R17" i="1"/>
  <c r="AB16" i="1"/>
  <c r="AB15" i="1"/>
  <c r="V15" i="1" s="1"/>
  <c r="X15" i="1"/>
  <c r="T15" i="1"/>
  <c r="R15" i="1"/>
  <c r="AB14" i="1"/>
  <c r="Y14" i="1"/>
  <c r="X14" i="1"/>
  <c r="W14" i="1"/>
  <c r="V14" i="1"/>
  <c r="U14" i="1"/>
  <c r="T14" i="1"/>
  <c r="S14" i="1"/>
  <c r="R14" i="1"/>
  <c r="AB13" i="1"/>
  <c r="V13" i="1" s="1"/>
  <c r="X13" i="1"/>
  <c r="T13" i="1"/>
  <c r="R13" i="1"/>
  <c r="AB12" i="1"/>
  <c r="X12" i="1" s="1"/>
  <c r="Y12" i="1"/>
  <c r="W12" i="1"/>
  <c r="V12" i="1"/>
  <c r="U12" i="1"/>
  <c r="S12" i="1"/>
  <c r="R12" i="1"/>
  <c r="AB11" i="1"/>
  <c r="X11" i="1"/>
  <c r="V11" i="1"/>
  <c r="T11" i="1"/>
  <c r="AB10" i="1"/>
  <c r="R10" i="1"/>
  <c r="AB9" i="1"/>
  <c r="X9" i="1" s="1"/>
  <c r="Y9" i="1"/>
  <c r="W9" i="1"/>
  <c r="V9" i="1"/>
  <c r="U9" i="1"/>
  <c r="S9" i="1"/>
  <c r="R9" i="1"/>
  <c r="AB8" i="1"/>
  <c r="X8" i="1" s="1"/>
  <c r="V8" i="1"/>
  <c r="R8" i="1"/>
  <c r="AB7" i="1"/>
  <c r="Y7" i="1"/>
  <c r="X7" i="1"/>
  <c r="W7" i="1"/>
  <c r="V7" i="1"/>
  <c r="U7" i="1"/>
  <c r="T7" i="1"/>
  <c r="S7" i="1"/>
  <c r="R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0" i="1" s="1"/>
  <c r="A39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B6" i="1"/>
  <c r="X6" i="1" s="1"/>
  <c r="V6" i="1"/>
  <c r="R6" i="1"/>
  <c r="AC17" i="1" l="1"/>
  <c r="AC50" i="1"/>
  <c r="AC7" i="1"/>
  <c r="AC14" i="1"/>
  <c r="AC28" i="1"/>
  <c r="AC35" i="1"/>
  <c r="AC36" i="1"/>
  <c r="AC12" i="1"/>
  <c r="Y10" i="1"/>
  <c r="U10" i="1"/>
  <c r="W10" i="1"/>
  <c r="S10" i="1"/>
  <c r="Y16" i="1"/>
  <c r="U16" i="1"/>
  <c r="W16" i="1"/>
  <c r="S16" i="1"/>
  <c r="W18" i="1"/>
  <c r="S18" i="1"/>
  <c r="Y18" i="1"/>
  <c r="U18" i="1"/>
  <c r="AB24" i="1"/>
  <c r="AB25" i="1" s="1"/>
  <c r="Y34" i="1"/>
  <c r="U34" i="1"/>
  <c r="W34" i="1"/>
  <c r="S34" i="1"/>
  <c r="W43" i="1"/>
  <c r="S43" i="1"/>
  <c r="Y43" i="1"/>
  <c r="U43" i="1"/>
  <c r="X43" i="1"/>
  <c r="T43" i="1"/>
  <c r="U59" i="1"/>
  <c r="W59" i="1"/>
  <c r="S59" i="1"/>
  <c r="AB59" i="1"/>
  <c r="Y59" i="1" s="1"/>
  <c r="AC59" i="1" s="1"/>
  <c r="T59" i="1"/>
  <c r="X59" i="1"/>
  <c r="S61" i="1"/>
  <c r="AB61" i="1"/>
  <c r="T61" i="1" s="1"/>
  <c r="Z65" i="1"/>
  <c r="AA65" i="1"/>
  <c r="Z71" i="1"/>
  <c r="AA71" i="1"/>
  <c r="T10" i="1"/>
  <c r="W11" i="1"/>
  <c r="AC11" i="1" s="1"/>
  <c r="S11" i="1"/>
  <c r="Y11" i="1"/>
  <c r="U11" i="1"/>
  <c r="T16" i="1"/>
  <c r="T18" i="1"/>
  <c r="Y31" i="1"/>
  <c r="U31" i="1"/>
  <c r="W31" i="1"/>
  <c r="S31" i="1"/>
  <c r="T34" i="1"/>
  <c r="Y47" i="1"/>
  <c r="U47" i="1"/>
  <c r="W47" i="1"/>
  <c r="S47" i="1"/>
  <c r="AC47" i="1" s="1"/>
  <c r="X47" i="1"/>
  <c r="T47" i="1"/>
  <c r="V59" i="1"/>
  <c r="AA62" i="1"/>
  <c r="Z62" i="1"/>
  <c r="X69" i="1"/>
  <c r="T69" i="1"/>
  <c r="Z69" i="1"/>
  <c r="AA69" i="1"/>
  <c r="AA70" i="1"/>
  <c r="Y6" i="1"/>
  <c r="U6" i="1"/>
  <c r="W6" i="1"/>
  <c r="S6" i="1"/>
  <c r="W8" i="1"/>
  <c r="S8" i="1"/>
  <c r="AC8" i="1" s="1"/>
  <c r="Y8" i="1"/>
  <c r="U8" i="1"/>
  <c r="V10" i="1"/>
  <c r="V16" i="1"/>
  <c r="V18" i="1"/>
  <c r="AC18" i="1" s="1"/>
  <c r="R24" i="1"/>
  <c r="W32" i="1"/>
  <c r="AC32" i="1" s="1"/>
  <c r="S32" i="1"/>
  <c r="Y32" i="1"/>
  <c r="U32" i="1"/>
  <c r="V34" i="1"/>
  <c r="AC34" i="1" s="1"/>
  <c r="Y45" i="1"/>
  <c r="U45" i="1"/>
  <c r="W45" i="1"/>
  <c r="AC45" i="1" s="1"/>
  <c r="S45" i="1"/>
  <c r="T45" i="1"/>
  <c r="X45" i="1"/>
  <c r="AA60" i="1"/>
  <c r="Z60" i="1"/>
  <c r="AB66" i="1"/>
  <c r="T66" i="1"/>
  <c r="AC66" i="1" s="1"/>
  <c r="S66" i="1"/>
  <c r="X66" i="1"/>
  <c r="T6" i="1"/>
  <c r="T8" i="1"/>
  <c r="X10" i="1"/>
  <c r="AC10" i="1" s="1"/>
  <c r="Y13" i="1"/>
  <c r="U13" i="1"/>
  <c r="W13" i="1"/>
  <c r="S13" i="1"/>
  <c r="AC13" i="1" s="1"/>
  <c r="W15" i="1"/>
  <c r="AC15" i="1" s="1"/>
  <c r="S15" i="1"/>
  <c r="Y15" i="1"/>
  <c r="U15" i="1"/>
  <c r="X16" i="1"/>
  <c r="X18" i="1"/>
  <c r="W21" i="1"/>
  <c r="S21" i="1"/>
  <c r="Y21" i="1"/>
  <c r="U21" i="1"/>
  <c r="AC21" i="1" s="1"/>
  <c r="R78" i="1"/>
  <c r="Y27" i="1"/>
  <c r="U27" i="1"/>
  <c r="W27" i="1"/>
  <c r="AC27" i="1" s="1"/>
  <c r="S27" i="1"/>
  <c r="W29" i="1"/>
  <c r="S29" i="1"/>
  <c r="Y29" i="1"/>
  <c r="U29" i="1"/>
  <c r="V31" i="1"/>
  <c r="V78" i="1" s="1"/>
  <c r="T32" i="1"/>
  <c r="X34" i="1"/>
  <c r="V43" i="1"/>
  <c r="AC43" i="1" s="1"/>
  <c r="Y49" i="1"/>
  <c r="U49" i="1"/>
  <c r="W49" i="1"/>
  <c r="AC49" i="1" s="1"/>
  <c r="S49" i="1"/>
  <c r="T49" i="1"/>
  <c r="X49" i="1"/>
  <c r="Q78" i="1"/>
  <c r="T57" i="1"/>
  <c r="AB57" i="1"/>
  <c r="S57" i="1" s="1"/>
  <c r="AA58" i="1"/>
  <c r="Z58" i="1"/>
  <c r="Z78" i="1" s="1"/>
  <c r="Z79" i="1" s="1"/>
  <c r="Z80" i="1" s="1"/>
  <c r="AB63" i="1"/>
  <c r="T63" i="1" s="1"/>
  <c r="Z67" i="1"/>
  <c r="AA67" i="1"/>
  <c r="AC40" i="1"/>
  <c r="X41" i="1"/>
  <c r="T41" i="1"/>
  <c r="W48" i="1"/>
  <c r="S48" i="1"/>
  <c r="Y48" i="1"/>
  <c r="U48" i="1"/>
  <c r="S58" i="1"/>
  <c r="X58" i="1"/>
  <c r="AC58" i="1" s="1"/>
  <c r="AA57" i="1"/>
  <c r="S60" i="1"/>
  <c r="X60" i="1"/>
  <c r="AC60" i="1" s="1"/>
  <c r="AA59" i="1"/>
  <c r="S64" i="1"/>
  <c r="X64" i="1"/>
  <c r="AC64" i="1" s="1"/>
  <c r="AA63" i="1"/>
  <c r="AA64" i="1"/>
  <c r="AB68" i="1"/>
  <c r="V68" i="1" s="1"/>
  <c r="S68" i="1"/>
  <c r="V69" i="1"/>
  <c r="AC69" i="1" s="1"/>
  <c r="AA68" i="1"/>
  <c r="AB72" i="1"/>
  <c r="V72" i="1" s="1"/>
  <c r="X72" i="1"/>
  <c r="T72" i="1"/>
  <c r="W72" i="1"/>
  <c r="S72" i="1"/>
  <c r="Y72" i="1"/>
  <c r="U72" i="1"/>
  <c r="AA72" i="1"/>
  <c r="AC72" i="1" s="1"/>
  <c r="AB70" i="1"/>
  <c r="S70" i="1" s="1"/>
  <c r="AC70" i="1" s="1"/>
  <c r="T70" i="1"/>
  <c r="X70" i="1"/>
  <c r="T9" i="1"/>
  <c r="AC9" i="1" s="1"/>
  <c r="T12" i="1"/>
  <c r="T19" i="1"/>
  <c r="AC19" i="1" s="1"/>
  <c r="T22" i="1"/>
  <c r="AC22" i="1" s="1"/>
  <c r="T26" i="1"/>
  <c r="AC26" i="1" s="1"/>
  <c r="T30" i="1"/>
  <c r="AC30" i="1" s="1"/>
  <c r="T33" i="1"/>
  <c r="AC33" i="1" s="1"/>
  <c r="T36" i="1"/>
  <c r="T38" i="1"/>
  <c r="AC38" i="1" s="1"/>
  <c r="T40" i="1"/>
  <c r="W41" i="1"/>
  <c r="AC41" i="1" s="1"/>
  <c r="W46" i="1"/>
  <c r="AC46" i="1" s="1"/>
  <c r="S46" i="1"/>
  <c r="Y46" i="1"/>
  <c r="U46" i="1"/>
  <c r="V48" i="1"/>
  <c r="S62" i="1"/>
  <c r="X62" i="1"/>
  <c r="AC62" i="1" s="1"/>
  <c r="AA61" i="1"/>
  <c r="S65" i="1"/>
  <c r="AC65" i="1" s="1"/>
  <c r="S67" i="1"/>
  <c r="S69" i="1"/>
  <c r="W69" i="1"/>
  <c r="S71" i="1"/>
  <c r="S73" i="1"/>
  <c r="T44" i="1"/>
  <c r="AC44" i="1" s="1"/>
  <c r="T51" i="1"/>
  <c r="AC51" i="1" s="1"/>
  <c r="T53" i="1"/>
  <c r="AC53" i="1" s="1"/>
  <c r="X65" i="1"/>
  <c r="X67" i="1"/>
  <c r="AC67" i="1" s="1"/>
  <c r="U69" i="1"/>
  <c r="Y69" i="1"/>
  <c r="X71" i="1"/>
  <c r="AC71" i="1" s="1"/>
  <c r="X73" i="1"/>
  <c r="AC73" i="1" s="1"/>
  <c r="W78" i="1" l="1"/>
  <c r="S78" i="1"/>
  <c r="Q79" i="1"/>
  <c r="Q80" i="1" s="1"/>
  <c r="T24" i="1"/>
  <c r="T25" i="1" s="1"/>
  <c r="AC16" i="1"/>
  <c r="W24" i="1"/>
  <c r="W25" i="1" s="1"/>
  <c r="AC31" i="1"/>
  <c r="V24" i="1"/>
  <c r="V25" i="1" s="1"/>
  <c r="U68" i="1"/>
  <c r="U78" i="1" s="1"/>
  <c r="W68" i="1"/>
  <c r="S63" i="1"/>
  <c r="X57" i="1"/>
  <c r="AC57" i="1" s="1"/>
  <c r="U24" i="1"/>
  <c r="U25" i="1" s="1"/>
  <c r="X61" i="1"/>
  <c r="AC61" i="1" s="1"/>
  <c r="X24" i="1"/>
  <c r="X25" i="1" s="1"/>
  <c r="T78" i="1"/>
  <c r="Y68" i="1"/>
  <c r="Y78" i="1" s="1"/>
  <c r="Y79" i="1" s="1"/>
  <c r="Y80" i="1" s="1"/>
  <c r="T68" i="1"/>
  <c r="X63" i="1"/>
  <c r="AC63" i="1" s="1"/>
  <c r="AB78" i="1"/>
  <c r="R79" i="1"/>
  <c r="R80" i="1"/>
  <c r="R25" i="1"/>
  <c r="Y24" i="1"/>
  <c r="Y25" i="1" s="1"/>
  <c r="AC48" i="1"/>
  <c r="X68" i="1"/>
  <c r="AC68" i="1" s="1"/>
  <c r="AA78" i="1"/>
  <c r="AA79" i="1" s="1"/>
  <c r="AA80" i="1" s="1"/>
  <c r="AC29" i="1"/>
  <c r="S24" i="1"/>
  <c r="S25" i="1" s="1"/>
  <c r="AC6" i="1"/>
  <c r="AC24" i="1" s="1"/>
  <c r="AC25" i="1" s="1"/>
  <c r="AC78" i="1" l="1"/>
  <c r="AC79" i="1" s="1"/>
  <c r="U79" i="1"/>
  <c r="U80" i="1"/>
  <c r="AB80" i="1"/>
  <c r="AB79" i="1"/>
  <c r="T80" i="1"/>
  <c r="T79" i="1"/>
  <c r="S80" i="1"/>
  <c r="S79" i="1"/>
  <c r="V79" i="1"/>
  <c r="V80" i="1" s="1"/>
  <c r="AC80" i="1" s="1"/>
  <c r="X78" i="1"/>
  <c r="X79" i="1" s="1"/>
  <c r="X80" i="1" s="1"/>
  <c r="W79" i="1"/>
  <c r="W80" i="1" s="1"/>
</calcChain>
</file>

<file path=xl/sharedStrings.xml><?xml version="1.0" encoding="utf-8"?>
<sst xmlns="http://schemas.openxmlformats.org/spreadsheetml/2006/main" count="436" uniqueCount="278">
  <si>
    <t>AL 14 DE AGOSTO 2012</t>
  </si>
  <si>
    <t>PLANTILLA DE PERSONAL PROYECTO DE PRESUPUESTO 2013</t>
  </si>
  <si>
    <t>Parámetros de Calculo del Impacto al Salario</t>
  </si>
  <si>
    <t>NOMBRE DEL ORGANISMO:</t>
  </si>
  <si>
    <t>ESCUELA DE CONSERVACION Y RESTAURACION DE OCCIDENTE</t>
  </si>
  <si>
    <t>Niveles 22-36</t>
  </si>
  <si>
    <t>A partir de Marzo</t>
  </si>
  <si>
    <t>COSTO MENSUAL</t>
  </si>
  <si>
    <t>COSTO ANUAL</t>
  </si>
  <si>
    <t>Factor IMSS</t>
  </si>
  <si>
    <t>No. Cons</t>
  </si>
  <si>
    <t>UP</t>
  </si>
  <si>
    <t>ORG</t>
  </si>
  <si>
    <t>PG</t>
  </si>
  <si>
    <t>PC</t>
  </si>
  <si>
    <t>UEG</t>
  </si>
  <si>
    <t>PLAZA</t>
  </si>
  <si>
    <t>NOMBRE DEL BENEFICIARIO</t>
  </si>
  <si>
    <t>R.F.C.</t>
  </si>
  <si>
    <t>F-ING</t>
  </si>
  <si>
    <t>NIVEL</t>
  </si>
  <si>
    <t>JOR</t>
  </si>
  <si>
    <t>CATEG</t>
  </si>
  <si>
    <t>CATEGORÍA</t>
  </si>
  <si>
    <t>ZONA
ECONÓMICA</t>
  </si>
  <si>
    <t>ADSCRIPCIÓN</t>
  </si>
  <si>
    <t>SUELDO
1131</t>
  </si>
  <si>
    <t>QUINQUENIO
1311</t>
  </si>
  <si>
    <t>PRIMA
VACACIONAL
1321</t>
  </si>
  <si>
    <t>AGUINALDO
1322</t>
  </si>
  <si>
    <t>ESTIMULO DEL DIA SERVIDOR PUBLICO         1715</t>
  </si>
  <si>
    <t>CUOTAS A
PENSIONES
1431</t>
  </si>
  <si>
    <t>CUOTAS PARA
LA VIVIENDA
1421</t>
  </si>
  <si>
    <t>CUOTAS 
AL IMSS
1411</t>
  </si>
  <si>
    <t>CUOTAS A SEDAR       1432</t>
  </si>
  <si>
    <t>DESPENSA
1712</t>
  </si>
  <si>
    <t>PASAJES
1713</t>
  </si>
  <si>
    <t>IMPACTO AL
SALARIO
1611</t>
  </si>
  <si>
    <t>TOTAL
ANUAL</t>
  </si>
  <si>
    <t>1101
esc</t>
  </si>
  <si>
    <t>total</t>
  </si>
  <si>
    <t>AM-010</t>
  </si>
  <si>
    <t>ALVAREZ PEREZ MARCELA</t>
  </si>
  <si>
    <t>AAPM-760831-KQ8</t>
  </si>
  <si>
    <t>B</t>
  </si>
  <si>
    <t>ENCARGADA RECURSOS FINANCIEROS</t>
  </si>
  <si>
    <t>DIRECCION ADMINISTRATIVA</t>
  </si>
  <si>
    <t>AM-014</t>
  </si>
  <si>
    <t>BENAVIDES NUÑEZ LILIANA</t>
  </si>
  <si>
    <t>BENL-721127D-L15</t>
  </si>
  <si>
    <t>SECRETARIA DIRECCION GENERAL</t>
  </si>
  <si>
    <t>DIRECCION GENERAL</t>
  </si>
  <si>
    <t>AM-001</t>
  </si>
  <si>
    <t>CANALES DAROCA ALEJANDRO</t>
  </si>
  <si>
    <t>CADA-580612-S73</t>
  </si>
  <si>
    <t>C</t>
  </si>
  <si>
    <t>DIRECTOR GENERAL</t>
  </si>
  <si>
    <t>AM-011</t>
  </si>
  <si>
    <t>DIAZ ALDERETE MANUEL ARMANDO</t>
  </si>
  <si>
    <t>DIAM-770415-UN1</t>
  </si>
  <si>
    <t>ENCARGADO RECURSOS MATERIALES</t>
  </si>
  <si>
    <t>AM-002</t>
  </si>
  <si>
    <t>ESPARZA MERCADO ELIZABETH</t>
  </si>
  <si>
    <t>EAME-761230-DW1</t>
  </si>
  <si>
    <t>DIRECTORA ADMINISTRATIVA</t>
  </si>
  <si>
    <t>AM-005</t>
  </si>
  <si>
    <t>HERMOSILLO REYES SALVADOR</t>
  </si>
  <si>
    <t>HERS760519-MN6</t>
  </si>
  <si>
    <t>JEFE JURIDICO</t>
  </si>
  <si>
    <t>AM-060</t>
  </si>
  <si>
    <t>MARTINEZ MENDEZ ARGELIO</t>
  </si>
  <si>
    <t>MAMA-771121-FY3</t>
  </si>
  <si>
    <t>VIGILANTE</t>
  </si>
  <si>
    <t>AM-012</t>
  </si>
  <si>
    <t>MAURICIO MALCA CELESTINA ISABEL</t>
  </si>
  <si>
    <t>MAMC-590616-6Z5</t>
  </si>
  <si>
    <t>ENCARGADA SERVICIOS EXTERNOS</t>
  </si>
  <si>
    <t>AM-061</t>
  </si>
  <si>
    <t>MENDEZ VAZQUEZ MARIA ELENA</t>
  </si>
  <si>
    <t>MEVE-690628-L16</t>
  </si>
  <si>
    <t>AUXILIAR DE INTENDENCIA</t>
  </si>
  <si>
    <t>AM-009</t>
  </si>
  <si>
    <t>NIEVES BARBOZA MARIA ISABEL</t>
  </si>
  <si>
    <t>NIBI-690427-5G4</t>
  </si>
  <si>
    <t>ENCARGADA RECURSOS HUMANOS</t>
  </si>
  <si>
    <t>AM-062</t>
  </si>
  <si>
    <t>REYES GARCIA CATALINA</t>
  </si>
  <si>
    <t>REGC670628-4L8</t>
  </si>
  <si>
    <t>ROBLEDO RAMIREZ ENRIQUE</t>
  </si>
  <si>
    <t>RORE-490712-SZ7</t>
  </si>
  <si>
    <t>AM-008</t>
  </si>
  <si>
    <t>ROBLES COVARRUBIAS NESTOR ISRAEL</t>
  </si>
  <si>
    <t>ROCN-760724-R84</t>
  </si>
  <si>
    <t>JEFE MATTO E INTENDENCIA</t>
  </si>
  <si>
    <t>AM-064</t>
  </si>
  <si>
    <t>SINOHUI CUEN MARIA CRISTINA</t>
  </si>
  <si>
    <t>SICC530505-NL3</t>
  </si>
  <si>
    <t>AM-065</t>
  </si>
  <si>
    <t>TORAL CHAVEZ RODOLFO</t>
  </si>
  <si>
    <t>TOCR-740118-JG2</t>
  </si>
  <si>
    <t>AM-059</t>
  </si>
  <si>
    <t>VELADOR GARCIA JESUS CARLOS</t>
  </si>
  <si>
    <t>VEGJ-831226-UC5</t>
  </si>
  <si>
    <t>CHOFER MENSAJERO</t>
  </si>
  <si>
    <t>AM-015</t>
  </si>
  <si>
    <t>VACANTE</t>
  </si>
  <si>
    <t>ASISTENTE DIRECCION ADMINISTRATIVA</t>
  </si>
  <si>
    <t>TOTAL ADMINISTRATIVOS</t>
  </si>
  <si>
    <t>SUMA ADMINISTRATIVO==&gt;&gt;</t>
  </si>
  <si>
    <t>AC-021</t>
  </si>
  <si>
    <t>ALEMAN CASTAÑEDA GUSTAVO</t>
  </si>
  <si>
    <t>AECG-691105-IT6</t>
  </si>
  <si>
    <t>PROFESOR TIEMPO COMPLETO LICENCIATURA</t>
  </si>
  <si>
    <t>DIRECCION ACADEMICA</t>
  </si>
  <si>
    <t>AC-028</t>
  </si>
  <si>
    <t>CHARUA AYALA DENISE</t>
  </si>
  <si>
    <t>CAAD-810522-LQ9</t>
  </si>
  <si>
    <t>AC-007</t>
  </si>
  <si>
    <t>DIAZ QUIRARTE OSVALDO</t>
  </si>
  <si>
    <t>DIQO-760519-288</t>
  </si>
  <si>
    <t>JEFE DE BIBLIOTECA</t>
  </si>
  <si>
    <t>AC-016</t>
  </si>
  <si>
    <t>FLORES SANDOVAL CAROLINA</t>
  </si>
  <si>
    <t>FOSC-730731-RT6</t>
  </si>
  <si>
    <t>SECRETARIA DIRECCION ACADEMICA</t>
  </si>
  <si>
    <t>AC-039</t>
  </si>
  <si>
    <t>GARCIA CORREA GISELA</t>
  </si>
  <si>
    <t>GACG-651108-8I6</t>
  </si>
  <si>
    <t>AC-029</t>
  </si>
  <si>
    <t>GARCIA RODRIGUEZ OSCAR ANTONIO</t>
  </si>
  <si>
    <t>GARO-780903-LC0</t>
  </si>
  <si>
    <t>AC-022</t>
  </si>
  <si>
    <t>GONZALEZ LOPEZ MARTHA CECILIA</t>
  </si>
  <si>
    <t>GOLM-701109-AP2</t>
  </si>
  <si>
    <t>AC-006</t>
  </si>
  <si>
    <t>GRZYBOWSKA-ALVAREZ SYLWIA</t>
  </si>
  <si>
    <t>GOWS581103LM6</t>
  </si>
  <si>
    <t>JEFA ASUNTOS ESCOLARES</t>
  </si>
  <si>
    <t>AC-017</t>
  </si>
  <si>
    <t>GUERRERO LARA MIRNA</t>
  </si>
  <si>
    <t>GULM-760101-SJA</t>
  </si>
  <si>
    <t>ASISTENTE BILIOTECA</t>
  </si>
  <si>
    <t>AC-030</t>
  </si>
  <si>
    <t>HERNANDEZ ROSALES GERARDO</t>
  </si>
  <si>
    <t>HERG-620912-JQ6</t>
  </si>
  <si>
    <t>AC-023</t>
  </si>
  <si>
    <t xml:space="preserve">JUAREZ WOO JAVIER </t>
  </si>
  <si>
    <t>JUWJ-540106-1D1</t>
  </si>
  <si>
    <t>AC-024</t>
  </si>
  <si>
    <t>LARIOS MORONES MARIA ELENA</t>
  </si>
  <si>
    <t>LAME-790518-BR1</t>
  </si>
  <si>
    <t>AC-032</t>
  </si>
  <si>
    <t>LIMON GALLEGOS MIRIAM</t>
  </si>
  <si>
    <t>LIGM-800513-GY0</t>
  </si>
  <si>
    <t>AC-038</t>
  </si>
  <si>
    <t>MEDINA NAVARRO SILVIA</t>
  </si>
  <si>
    <t>MENS-771001-HG0</t>
  </si>
  <si>
    <t>PROFESOR TIEMPO COMPLETO MAESTRIA</t>
  </si>
  <si>
    <t>AC-025</t>
  </si>
  <si>
    <t xml:space="preserve">MEZA OROZCO OCTAVIO ALEJANDRO </t>
  </si>
  <si>
    <t>MEOO-780220-692</t>
  </si>
  <si>
    <t>AC-033</t>
  </si>
  <si>
    <t>PADILLA  CASILLAS EDUARDO</t>
  </si>
  <si>
    <t>PACE-820527-2U3</t>
  </si>
  <si>
    <t>AC-018</t>
  </si>
  <si>
    <t>PAEZ KANO RUBEN</t>
  </si>
  <si>
    <t>PAKR-581105-UY2</t>
  </si>
  <si>
    <t>AC-034</t>
  </si>
  <si>
    <t>PASCO SALDAÑA GILDA</t>
  </si>
  <si>
    <t>PASG-800918-HV6</t>
  </si>
  <si>
    <t>AC-019</t>
  </si>
  <si>
    <t>RAMOS PONCE NORA BEATRIZ</t>
  </si>
  <si>
    <t>RAPN-570714-AS2</t>
  </si>
  <si>
    <t>AC-020</t>
  </si>
  <si>
    <t>REYES BARRAGAN JOSE LUIS</t>
  </si>
  <si>
    <t>REBL-720621-TN5</t>
  </si>
  <si>
    <t>AC-027</t>
  </si>
  <si>
    <t>ROUSSEAU RENEVIER JAVIER</t>
  </si>
  <si>
    <t>RORX-570101-KIA</t>
  </si>
  <si>
    <t>AC-035</t>
  </si>
  <si>
    <t>SANCHEZ BECERRA RIGOBERTO</t>
  </si>
  <si>
    <t>BARC730228-U85</t>
  </si>
  <si>
    <t>AC-037</t>
  </si>
  <si>
    <t>VELEZ KAISER LUCRECIA</t>
  </si>
  <si>
    <t>VEKL-721110-973</t>
  </si>
  <si>
    <t>AC-013</t>
  </si>
  <si>
    <t>ZAMORA ESPINOZA JOSIAS JAVIER</t>
  </si>
  <si>
    <t>ZAEJ700413-5TO</t>
  </si>
  <si>
    <t>ENCARGADO DE DIFUSION</t>
  </si>
  <si>
    <t>AC-003</t>
  </si>
  <si>
    <t>ZARATE RAMIREZ JOSE ALVARO</t>
  </si>
  <si>
    <t>ZARA-760319-GPA</t>
  </si>
  <si>
    <t>DIRECTOR ACADEMICO</t>
  </si>
  <si>
    <t>AC-031</t>
  </si>
  <si>
    <t>VACANTE DOCTORADO</t>
  </si>
  <si>
    <t>PROFESOR TIEMPO COMPLETO DOCTORADO</t>
  </si>
  <si>
    <t>AC-026</t>
  </si>
  <si>
    <t>VACANTE INTERINATO</t>
  </si>
  <si>
    <t xml:space="preserve">HORAS DE </t>
  </si>
  <si>
    <t>VALES</t>
  </si>
  <si>
    <t>TRANSP</t>
  </si>
  <si>
    <t>AC-036</t>
  </si>
  <si>
    <t>VACANTE MAESTRIA</t>
  </si>
  <si>
    <t>AC-004</t>
  </si>
  <si>
    <t>VACANTE COORDINADOR DE CARRERA</t>
  </si>
  <si>
    <t>COORDINADORA DE CARRERA</t>
  </si>
  <si>
    <t>AC-057</t>
  </si>
  <si>
    <t>AC-047</t>
  </si>
  <si>
    <t>CAMACHO PUEBLA ANA LAURA</t>
  </si>
  <si>
    <t>CAPA-870526-K85</t>
  </si>
  <si>
    <t>A</t>
  </si>
  <si>
    <t>PROFESOR ASIGNATURA LICENCIATURA</t>
  </si>
  <si>
    <t>AC-055</t>
  </si>
  <si>
    <t>CHAVEZ BRANDON SUSANA</t>
  </si>
  <si>
    <t>CABS-750221-2F6</t>
  </si>
  <si>
    <t>PROFESOR ASIGNATURA MAESTRIA</t>
  </si>
  <si>
    <t>AC-040</t>
  </si>
  <si>
    <t>DE HIJAR ORNELAS TOMAS</t>
  </si>
  <si>
    <t>HIOT-660830-3G3</t>
  </si>
  <si>
    <t>AC-045</t>
  </si>
  <si>
    <t>DIAZ CAYEROS IRMA PATRICIA</t>
  </si>
  <si>
    <t>DICI-690712-L48</t>
  </si>
  <si>
    <t>PROFESOR ASIGNATURA DOCTORADO</t>
  </si>
  <si>
    <t>AC-046</t>
  </si>
  <si>
    <t>FERNANDEZ GARCIA ERIC</t>
  </si>
  <si>
    <t>FEGJ-630601-AX1</t>
  </si>
  <si>
    <t>AC-056</t>
  </si>
  <si>
    <t>FLORES BARBA MARIA LAURA</t>
  </si>
  <si>
    <t>FOBL-790821-A62</t>
  </si>
  <si>
    <t>AC-053</t>
  </si>
  <si>
    <t>GUZMAN VELAZQUEZ VICTOR</t>
  </si>
  <si>
    <t>GUVV-471230-4M7</t>
  </si>
  <si>
    <t>AC-048</t>
  </si>
  <si>
    <t>HERNANDEZ LOPEZ ENRIQUE</t>
  </si>
  <si>
    <t>HELE-750524-1N0</t>
  </si>
  <si>
    <t>PROFESOR ASIGNATURA PASANTE</t>
  </si>
  <si>
    <t>AC-054</t>
  </si>
  <si>
    <t>IBARRA CORONA ABRAHAM</t>
  </si>
  <si>
    <t>IACA-660317-8W7</t>
  </si>
  <si>
    <t>AC-058</t>
  </si>
  <si>
    <t>INSAURRALDE CABALLERO MIRTA ASUNCION</t>
  </si>
  <si>
    <t>IACM-710815-RNA</t>
  </si>
  <si>
    <t>AC-051</t>
  </si>
  <si>
    <t>JAUREGUI ARRELOA KARLA ALICIA</t>
  </si>
  <si>
    <t>JAAK-820123-93A</t>
  </si>
  <si>
    <t>AC-041</t>
  </si>
  <si>
    <t>LOPEZ MESTAS CAMBEROS MARTHA LORENZA</t>
  </si>
  <si>
    <t>LOCL-671226-419</t>
  </si>
  <si>
    <t>AC-042</t>
  </si>
  <si>
    <t>LUDEVID MARIA NATALIA</t>
  </si>
  <si>
    <t>LUNA-740506-PC5</t>
  </si>
  <si>
    <t>AC-044</t>
  </si>
  <si>
    <t>MONTEJANO MARISOL DEL CARMEN</t>
  </si>
  <si>
    <t>MOEM-761218-AM9</t>
  </si>
  <si>
    <t>AC-050</t>
  </si>
  <si>
    <t>NUÑEZ ARELLANO OSCAR</t>
  </si>
  <si>
    <t>NUAO-760213-340</t>
  </si>
  <si>
    <t>AC-043</t>
  </si>
  <si>
    <t>RAMIREZ RUIZ OSE ANTONIO</t>
  </si>
  <si>
    <t>RARA-610828-B79</t>
  </si>
  <si>
    <t>PROFESOR ASIGNATURA MESTRIA</t>
  </si>
  <si>
    <t>AC-049</t>
  </si>
  <si>
    <t>TORRES SANCHEZ EDGAR OCTAVIO</t>
  </si>
  <si>
    <t>TOSE-741010-M5A</t>
  </si>
  <si>
    <t>AC-052</t>
  </si>
  <si>
    <t>TOTAL ACADEMICOS</t>
  </si>
  <si>
    <t>SUMA  ACADEMIICO==&gt;&gt;</t>
  </si>
  <si>
    <t>TOTAL PLANTILLA</t>
  </si>
  <si>
    <t>SUMA TOTAL</t>
  </si>
  <si>
    <t>TABULADOR DE SUELDOS</t>
  </si>
  <si>
    <t>ANUAL ==&gt;</t>
  </si>
  <si>
    <t>TOTAL ANUAL ==&gt;&gt;</t>
  </si>
  <si>
    <t>Salario Mínimo 2013</t>
  </si>
  <si>
    <t xml:space="preserve">FALTAN DE PRIMA DE ANTIGÜEDAD </t>
  </si>
  <si>
    <t>Zona Geográfica "B"</t>
  </si>
  <si>
    <t>ACTUALIZAR SALARIO MINIMO</t>
  </si>
  <si>
    <t>MODIFICAR VALES Y TRANSPORTE A ARGELIO Y MIRNA</t>
  </si>
  <si>
    <t>4.5% inflacion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</si>
</sst>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0000%"/>
    <numFmt numFmtId="166" formatCode="#,##0.00_ ;[Red]\-#,##0.00\ "/>
    <numFmt numFmtId="167" formatCode="&quot;$&quot;#,##0.00"/>
    <numFmt numFmtId="168" formatCode="_-* #,##0.00_-;\-* #,##0.00_-;_-* &quot;-&quot;??_-;_-@_-"/>
    <numFmt numFmtId="169" formatCode="&quot;$&quot;#,##0.00;[Red]\-&quot;$&quot;#,##0.00"/>
  </numFmts>
  <fonts count="17" x14ac:knownFonts="1">
    <font>
      <sz val="10"/>
      <name val="Arial"/>
    </font>
    <font>
      <sz val="10"/>
      <name val="MS Sans Serif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theme="2"/>
      <name val="Arial"/>
      <family val="2"/>
    </font>
    <font>
      <b/>
      <sz val="8"/>
      <color theme="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8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2" borderId="0" xfId="2" applyFont="1" applyFill="1" applyAlignment="1">
      <alignment vertical="center"/>
    </xf>
    <xf numFmtId="0" fontId="3" fillId="3" borderId="0" xfId="2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3" fillId="3" borderId="0" xfId="2" applyFont="1" applyFill="1" applyAlignment="1">
      <alignment horizontal="center" vertical="center"/>
    </xf>
    <xf numFmtId="0" fontId="4" fillId="0" borderId="0" xfId="3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0" fontId="8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4" fontId="4" fillId="0" borderId="0" xfId="2" applyNumberFormat="1" applyFont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7" fillId="4" borderId="0" xfId="2" applyFont="1" applyFill="1" applyAlignment="1">
      <alignment vertical="center"/>
    </xf>
    <xf numFmtId="10" fontId="4" fillId="0" borderId="0" xfId="4" applyNumberFormat="1" applyFont="1" applyAlignment="1">
      <alignment horizontal="center" vertical="center"/>
    </xf>
    <xf numFmtId="0" fontId="1" fillId="4" borderId="0" xfId="2" applyFill="1" applyAlignment="1">
      <alignment vertical="center"/>
    </xf>
    <xf numFmtId="3" fontId="4" fillId="0" borderId="0" xfId="5" applyNumberFormat="1" applyFont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10" fontId="1" fillId="0" borderId="0" xfId="4" applyNumberFormat="1" applyFont="1" applyAlignment="1">
      <alignment horizontal="center" vertical="center"/>
    </xf>
    <xf numFmtId="10" fontId="7" fillId="4" borderId="0" xfId="2" applyNumberFormat="1" applyFont="1" applyFill="1" applyAlignment="1">
      <alignment horizontal="center" vertical="center"/>
    </xf>
    <xf numFmtId="4" fontId="4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15" fontId="4" fillId="0" borderId="0" xfId="2" applyNumberFormat="1" applyFont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4" fontId="3" fillId="5" borderId="2" xfId="2" applyNumberFormat="1" applyFont="1" applyFill="1" applyBorder="1" applyAlignment="1">
      <alignment horizontal="center" vertical="center"/>
    </xf>
    <xf numFmtId="4" fontId="3" fillId="5" borderId="4" xfId="2" applyNumberFormat="1" applyFont="1" applyFill="1" applyBorder="1" applyAlignment="1">
      <alignment horizontal="center" vertical="center"/>
    </xf>
    <xf numFmtId="4" fontId="3" fillId="5" borderId="3" xfId="2" applyNumberFormat="1" applyFont="1" applyFill="1" applyBorder="1" applyAlignment="1">
      <alignment horizontal="center" vertical="center"/>
    </xf>
    <xf numFmtId="0" fontId="3" fillId="5" borderId="5" xfId="2" applyFont="1" applyFill="1" applyBorder="1" applyAlignment="1">
      <alignment horizontal="center" vertical="center"/>
    </xf>
    <xf numFmtId="0" fontId="3" fillId="5" borderId="5" xfId="2" applyFont="1" applyFill="1" applyBorder="1" applyAlignment="1">
      <alignment horizontal="center" vertical="center" wrapText="1"/>
    </xf>
    <xf numFmtId="0" fontId="4" fillId="2" borderId="0" xfId="3" applyFill="1"/>
    <xf numFmtId="165" fontId="4" fillId="0" borderId="0" xfId="4" applyNumberFormat="1" applyFont="1" applyAlignment="1">
      <alignment horizontal="center" vertical="center"/>
    </xf>
    <xf numFmtId="0" fontId="11" fillId="6" borderId="5" xfId="2" applyNumberFormat="1" applyFont="1" applyFill="1" applyBorder="1" applyAlignment="1">
      <alignment horizontal="center" vertical="center" wrapText="1"/>
    </xf>
    <xf numFmtId="15" fontId="11" fillId="6" borderId="5" xfId="2" applyNumberFormat="1" applyFont="1" applyFill="1" applyBorder="1" applyAlignment="1">
      <alignment horizontal="center" vertical="center" wrapText="1"/>
    </xf>
    <xf numFmtId="4" fontId="11" fillId="6" borderId="5" xfId="2" applyNumberFormat="1" applyFont="1" applyFill="1" applyBorder="1" applyAlignment="1">
      <alignment horizontal="center" vertical="center" wrapText="1"/>
    </xf>
    <xf numFmtId="4" fontId="12" fillId="6" borderId="5" xfId="2" applyNumberFormat="1" applyFont="1" applyFill="1" applyBorder="1" applyAlignment="1">
      <alignment horizontal="center" vertical="center" wrapText="1"/>
    </xf>
    <xf numFmtId="4" fontId="7" fillId="0" borderId="0" xfId="2" applyNumberFormat="1" applyFont="1" applyFill="1" applyBorder="1" applyAlignment="1">
      <alignment horizontal="center" vertical="center" wrapText="1"/>
    </xf>
    <xf numFmtId="0" fontId="1" fillId="0" borderId="0" xfId="2" applyFill="1" applyAlignment="1">
      <alignment vertical="center"/>
    </xf>
    <xf numFmtId="0" fontId="1" fillId="0" borderId="0" xfId="2" applyFill="1" applyAlignment="1">
      <alignment vertical="center" wrapText="1"/>
    </xf>
    <xf numFmtId="164" fontId="1" fillId="0" borderId="0" xfId="5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4" fillId="0" borderId="6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center"/>
    </xf>
    <xf numFmtId="15" fontId="1" fillId="0" borderId="6" xfId="2" applyNumberForma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4" fontId="4" fillId="0" borderId="6" xfId="2" applyNumberFormat="1" applyFont="1" applyFill="1" applyBorder="1" applyAlignment="1">
      <alignment vertical="center"/>
    </xf>
    <xf numFmtId="166" fontId="1" fillId="0" borderId="6" xfId="2" applyNumberForma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5" xfId="2" applyFont="1" applyFill="1" applyBorder="1" applyAlignment="1">
      <alignment vertical="center"/>
    </xf>
    <xf numFmtId="166" fontId="1" fillId="0" borderId="0" xfId="2" applyNumberFormat="1" applyFill="1" applyBorder="1" applyAlignment="1">
      <alignment vertical="center"/>
    </xf>
    <xf numFmtId="166" fontId="1" fillId="0" borderId="0" xfId="2" applyNumberFormat="1" applyFill="1" applyAlignment="1">
      <alignment vertical="center"/>
    </xf>
    <xf numFmtId="166" fontId="4" fillId="0" borderId="0" xfId="2" applyNumberFormat="1" applyFont="1" applyFill="1" applyAlignment="1">
      <alignment vertical="center"/>
    </xf>
    <xf numFmtId="15" fontId="1" fillId="0" borderId="5" xfId="2" applyNumberForma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4" fontId="4" fillId="0" borderId="6" xfId="2" applyNumberFormat="1" applyFont="1" applyFill="1" applyBorder="1" applyAlignment="1">
      <alignment horizontal="center" vertical="center"/>
    </xf>
    <xf numFmtId="4" fontId="4" fillId="0" borderId="5" xfId="2" applyNumberFormat="1" applyFont="1" applyFill="1" applyBorder="1" applyAlignment="1">
      <alignment horizontal="center" vertical="center"/>
    </xf>
    <xf numFmtId="0" fontId="4" fillId="2" borderId="6" xfId="2" applyNumberFormat="1" applyFont="1" applyFill="1" applyBorder="1" applyAlignment="1">
      <alignment horizontal="center" vertical="center"/>
    </xf>
    <xf numFmtId="0" fontId="4" fillId="2" borderId="6" xfId="2" applyFont="1" applyFill="1" applyBorder="1" applyAlignment="1">
      <alignment vertical="center"/>
    </xf>
    <xf numFmtId="15" fontId="1" fillId="2" borderId="6" xfId="2" applyNumberForma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vertical="center"/>
    </xf>
    <xf numFmtId="0" fontId="4" fillId="0" borderId="5" xfId="2" applyNumberFormat="1" applyFont="1" applyFill="1" applyBorder="1" applyAlignment="1">
      <alignment horizontal="center" vertical="center"/>
    </xf>
    <xf numFmtId="15" fontId="1" fillId="2" borderId="5" xfId="2" applyNumberForma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4" fontId="4" fillId="0" borderId="5" xfId="2" applyNumberFormat="1" applyFont="1" applyFill="1" applyBorder="1" applyAlignment="1">
      <alignment vertical="center"/>
    </xf>
    <xf numFmtId="166" fontId="1" fillId="0" borderId="5" xfId="2" applyNumberFormat="1" applyFill="1" applyBorder="1" applyAlignment="1">
      <alignment vertical="center"/>
    </xf>
    <xf numFmtId="4" fontId="4" fillId="2" borderId="6" xfId="2" applyNumberFormat="1" applyFont="1" applyFill="1" applyBorder="1" applyAlignment="1">
      <alignment vertical="center"/>
    </xf>
    <xf numFmtId="4" fontId="4" fillId="2" borderId="0" xfId="2" applyNumberFormat="1" applyFont="1" applyFill="1" applyAlignment="1">
      <alignment vertical="center"/>
    </xf>
    <xf numFmtId="15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4" fontId="13" fillId="2" borderId="2" xfId="2" applyNumberFormat="1" applyFont="1" applyFill="1" applyBorder="1" applyAlignment="1">
      <alignment horizontal="center" vertical="center"/>
    </xf>
    <xf numFmtId="4" fontId="13" fillId="2" borderId="4" xfId="2" applyNumberFormat="1" applyFont="1" applyFill="1" applyBorder="1" applyAlignment="1">
      <alignment horizontal="center" vertical="center"/>
    </xf>
    <xf numFmtId="4" fontId="13" fillId="2" borderId="3" xfId="2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 shrinkToFit="1"/>
    </xf>
    <xf numFmtId="4" fontId="13" fillId="0" borderId="5" xfId="2" applyNumberFormat="1" applyFont="1" applyFill="1" applyBorder="1" applyAlignment="1">
      <alignment vertical="center"/>
    </xf>
    <xf numFmtId="15" fontId="1" fillId="2" borderId="0" xfId="2" applyNumberForma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vertical="center"/>
    </xf>
    <xf numFmtId="4" fontId="4" fillId="0" borderId="0" xfId="2" applyNumberFormat="1" applyFont="1" applyFill="1" applyBorder="1" applyAlignment="1">
      <alignment horizontal="center" vertical="center"/>
    </xf>
    <xf numFmtId="0" fontId="4" fillId="0" borderId="7" xfId="2" applyNumberFormat="1" applyFont="1" applyFill="1" applyBorder="1" applyAlignment="1">
      <alignment horizontal="center" vertical="center"/>
    </xf>
    <xf numFmtId="0" fontId="4" fillId="2" borderId="7" xfId="2" applyNumberFormat="1" applyFont="1" applyFill="1" applyBorder="1" applyAlignment="1">
      <alignment horizontal="center" vertical="center"/>
    </xf>
    <xf numFmtId="0" fontId="4" fillId="2" borderId="7" xfId="2" applyFont="1" applyFill="1" applyBorder="1" applyAlignment="1">
      <alignment vertical="center"/>
    </xf>
    <xf numFmtId="15" fontId="1" fillId="2" borderId="7" xfId="2" applyNumberFormat="1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4" fontId="4" fillId="2" borderId="7" xfId="2" applyNumberFormat="1" applyFont="1" applyFill="1" applyBorder="1" applyAlignment="1">
      <alignment vertical="center"/>
    </xf>
    <xf numFmtId="4" fontId="4" fillId="0" borderId="7" xfId="2" applyNumberFormat="1" applyFont="1" applyFill="1" applyBorder="1" applyAlignment="1">
      <alignment horizontal="center" vertical="center"/>
    </xf>
    <xf numFmtId="4" fontId="4" fillId="0" borderId="7" xfId="2" applyNumberFormat="1" applyFont="1" applyFill="1" applyBorder="1" applyAlignment="1">
      <alignment vertical="center"/>
    </xf>
    <xf numFmtId="4" fontId="4" fillId="0" borderId="8" xfId="2" applyNumberFormat="1" applyFont="1" applyFill="1" applyBorder="1" applyAlignment="1">
      <alignment vertical="center"/>
    </xf>
    <xf numFmtId="166" fontId="1" fillId="0" borderId="7" xfId="2" applyNumberFormat="1" applyFill="1" applyBorder="1" applyAlignment="1">
      <alignment vertical="center"/>
    </xf>
    <xf numFmtId="0" fontId="4" fillId="2" borderId="9" xfId="2" applyFont="1" applyFill="1" applyBorder="1" applyAlignment="1">
      <alignment vertical="center"/>
    </xf>
    <xf numFmtId="15" fontId="1" fillId="2" borderId="9" xfId="2" applyNumberFormat="1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166" fontId="1" fillId="0" borderId="10" xfId="2" applyNumberForma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0" fontId="4" fillId="0" borderId="0" xfId="3" applyFill="1"/>
    <xf numFmtId="15" fontId="1" fillId="2" borderId="5" xfId="2" applyNumberFormat="1" applyFont="1" applyFill="1" applyBorder="1" applyAlignment="1">
      <alignment horizontal="center" vertical="center"/>
    </xf>
    <xf numFmtId="0" fontId="7" fillId="8" borderId="0" xfId="2" applyFont="1" applyFill="1" applyBorder="1" applyAlignment="1">
      <alignment horizontal="center" vertical="center"/>
    </xf>
    <xf numFmtId="0" fontId="4" fillId="9" borderId="6" xfId="2" applyNumberFormat="1" applyFont="1" applyFill="1" applyBorder="1" applyAlignment="1">
      <alignment horizontal="center" vertical="center"/>
    </xf>
    <xf numFmtId="4" fontId="4" fillId="9" borderId="6" xfId="2" applyNumberFormat="1" applyFont="1" applyFill="1" applyBorder="1" applyAlignment="1">
      <alignment vertical="center"/>
    </xf>
    <xf numFmtId="166" fontId="1" fillId="9" borderId="6" xfId="2" applyNumberFormat="1" applyFill="1" applyBorder="1" applyAlignment="1">
      <alignment vertical="center"/>
    </xf>
    <xf numFmtId="0" fontId="4" fillId="9" borderId="0" xfId="2" applyFont="1" applyFill="1" applyAlignment="1">
      <alignment vertical="center"/>
    </xf>
    <xf numFmtId="15" fontId="1" fillId="2" borderId="5" xfId="2" quotePrefix="1" applyNumberFormat="1" applyFont="1" applyFill="1" applyBorder="1" applyAlignment="1">
      <alignment horizontal="center" vertical="center"/>
    </xf>
    <xf numFmtId="0" fontId="7" fillId="8" borderId="0" xfId="2" applyFont="1" applyFill="1" applyBorder="1" applyAlignment="1">
      <alignment vertical="center"/>
    </xf>
    <xf numFmtId="167" fontId="7" fillId="8" borderId="0" xfId="2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Alignment="1">
      <alignment vertical="center"/>
    </xf>
    <xf numFmtId="15" fontId="4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4" fontId="4" fillId="0" borderId="0" xfId="2" applyNumberFormat="1" applyFont="1" applyFill="1" applyAlignment="1">
      <alignment horizontal="center" vertical="center"/>
    </xf>
    <xf numFmtId="167" fontId="4" fillId="0" borderId="0" xfId="2" applyNumberFormat="1" applyFont="1" applyFill="1" applyAlignment="1">
      <alignment vertical="center"/>
    </xf>
    <xf numFmtId="167" fontId="4" fillId="0" borderId="0" xfId="2" applyNumberFormat="1" applyFont="1" applyAlignment="1">
      <alignment vertical="center"/>
    </xf>
    <xf numFmtId="4" fontId="13" fillId="0" borderId="5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166" fontId="4" fillId="0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left" vertical="center"/>
    </xf>
    <xf numFmtId="1" fontId="7" fillId="0" borderId="0" xfId="2" applyNumberFormat="1" applyFont="1" applyAlignment="1">
      <alignment horizontal="center" vertical="center"/>
    </xf>
    <xf numFmtId="168" fontId="4" fillId="0" borderId="0" xfId="1" applyFont="1" applyFill="1" applyAlignment="1">
      <alignment horizontal="center" vertical="center"/>
    </xf>
    <xf numFmtId="1" fontId="7" fillId="0" borderId="0" xfId="2" applyNumberFormat="1" applyFont="1" applyBorder="1" applyAlignment="1">
      <alignment horizontal="center" vertical="center"/>
    </xf>
    <xf numFmtId="4" fontId="4" fillId="0" borderId="0" xfId="2" applyNumberFormat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15" fontId="4" fillId="0" borderId="0" xfId="2" applyNumberFormat="1" applyFont="1" applyBorder="1" applyAlignment="1">
      <alignment horizontal="center" vertical="center"/>
    </xf>
    <xf numFmtId="0" fontId="14" fillId="0" borderId="0" xfId="2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center" vertical="center"/>
    </xf>
    <xf numFmtId="4" fontId="4" fillId="10" borderId="0" xfId="2" applyNumberFormat="1" applyFont="1" applyFill="1" applyAlignment="1">
      <alignment horizontal="center" vertical="center"/>
    </xf>
    <xf numFmtId="166" fontId="4" fillId="10" borderId="0" xfId="2" applyNumberFormat="1" applyFont="1" applyFill="1" applyAlignment="1">
      <alignment vertical="center"/>
    </xf>
    <xf numFmtId="4" fontId="4" fillId="0" borderId="0" xfId="2" applyNumberFormat="1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4" fontId="4" fillId="0" borderId="0" xfId="2" applyNumberFormat="1" applyFont="1" applyAlignment="1">
      <alignment horizontal="left" vertical="center"/>
    </xf>
    <xf numFmtId="0" fontId="15" fillId="0" borderId="0" xfId="2" quotePrefix="1" applyFont="1" applyFill="1" applyBorder="1" applyAlignment="1">
      <alignment horizontal="left" vertical="center"/>
    </xf>
    <xf numFmtId="166" fontId="4" fillId="0" borderId="0" xfId="2" applyNumberFormat="1" applyFont="1" applyAlignment="1">
      <alignment vertical="center"/>
    </xf>
    <xf numFmtId="4" fontId="9" fillId="0" borderId="0" xfId="2" applyNumberFormat="1" applyFont="1" applyAlignment="1">
      <alignment horizontal="left" vertical="center"/>
    </xf>
    <xf numFmtId="0" fontId="15" fillId="0" borderId="0" xfId="2" applyFont="1" applyFill="1" applyAlignment="1">
      <alignment horizontal="center" vertical="center"/>
    </xf>
    <xf numFmtId="0" fontId="15" fillId="0" borderId="0" xfId="2" quotePrefix="1" applyFont="1" applyFill="1" applyAlignment="1">
      <alignment horizontal="left" vertical="center"/>
    </xf>
    <xf numFmtId="166" fontId="7" fillId="11" borderId="0" xfId="0" applyNumberFormat="1" applyFont="1" applyFill="1" applyAlignment="1">
      <alignment horizontal="center"/>
    </xf>
    <xf numFmtId="4" fontId="4" fillId="7" borderId="0" xfId="2" applyNumberFormat="1" applyFont="1" applyFill="1" applyAlignment="1">
      <alignment horizontal="left" vertical="center"/>
    </xf>
    <xf numFmtId="169" fontId="7" fillId="11" borderId="0" xfId="0" applyNumberFormat="1" applyFont="1" applyFill="1" applyAlignment="1">
      <alignment horizontal="center"/>
    </xf>
    <xf numFmtId="0" fontId="14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4" fontId="15" fillId="0" borderId="0" xfId="2" applyNumberFormat="1" applyFont="1" applyFill="1" applyAlignment="1">
      <alignment vertical="center"/>
    </xf>
    <xf numFmtId="0" fontId="4" fillId="0" borderId="0" xfId="2" applyFont="1" applyAlignment="1">
      <alignment horizontal="left" vertical="center"/>
    </xf>
    <xf numFmtId="15" fontId="4" fillId="0" borderId="0" xfId="2" applyNumberFormat="1" applyFont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16" fillId="0" borderId="0" xfId="2" applyFont="1" applyAlignment="1">
      <alignment vertical="center"/>
    </xf>
    <xf numFmtId="4" fontId="16" fillId="0" borderId="0" xfId="2" applyNumberFormat="1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15" fontId="16" fillId="0" borderId="0" xfId="2" applyNumberFormat="1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15" fontId="9" fillId="0" borderId="0" xfId="2" applyNumberFormat="1" applyFont="1" applyAlignment="1">
      <alignment horizontal="left" vertical="center"/>
    </xf>
  </cellXfs>
  <cellStyles count="6">
    <cellStyle name="Millares" xfId="1" builtinId="3"/>
    <cellStyle name="Millares_~9885111" xfId="5"/>
    <cellStyle name="Normal" xfId="0" builtinId="0"/>
    <cellStyle name="Normal 3" xfId="3"/>
    <cellStyle name="Normal_~9885111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77</xdr:row>
      <xdr:rowOff>190500</xdr:rowOff>
    </xdr:from>
    <xdr:to>
      <xdr:col>7</xdr:col>
      <xdr:colOff>1057275</xdr:colOff>
      <xdr:row>83</xdr:row>
      <xdr:rowOff>270782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1440775"/>
          <a:ext cx="3705225" cy="1794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1</xdr:row>
      <xdr:rowOff>257175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28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9"/>
  <sheetViews>
    <sheetView tabSelected="1" topLeftCell="F49" zoomScale="70" zoomScaleNormal="70" workbookViewId="0">
      <selection activeCell="N85" sqref="N85"/>
    </sheetView>
  </sheetViews>
  <sheetFormatPr baseColWidth="10" defaultColWidth="9.140625" defaultRowHeight="12.75" x14ac:dyDescent="0.2"/>
  <cols>
    <col min="1" max="6" width="5.42578125" style="24" customWidth="1"/>
    <col min="7" max="7" width="8.7109375" style="24" bestFit="1" customWidth="1"/>
    <col min="8" max="8" width="35" style="5" customWidth="1"/>
    <col min="9" max="9" width="17" style="5" customWidth="1"/>
    <col min="10" max="10" width="11" style="26" bestFit="1" customWidth="1"/>
    <col min="11" max="13" width="6.140625" style="10" customWidth="1"/>
    <col min="14" max="14" width="34.140625" style="5" customWidth="1"/>
    <col min="15" max="15" width="6.140625" style="5" customWidth="1"/>
    <col min="16" max="16" width="24.42578125" style="10" customWidth="1"/>
    <col min="17" max="17" width="17.28515625" style="10" bestFit="1" customWidth="1"/>
    <col min="18" max="18" width="15.42578125" style="15" bestFit="1" customWidth="1"/>
    <col min="19" max="19" width="13.28515625" style="15" customWidth="1"/>
    <col min="20" max="20" width="15.42578125" style="15" bestFit="1" customWidth="1"/>
    <col min="21" max="21" width="16" style="15" customWidth="1"/>
    <col min="22" max="22" width="14.5703125" style="5" bestFit="1" customWidth="1"/>
    <col min="23" max="23" width="14.28515625" style="5" customWidth="1"/>
    <col min="24" max="24" width="14.42578125" style="5" bestFit="1" customWidth="1"/>
    <col min="25" max="26" width="14" style="5" bestFit="1" customWidth="1"/>
    <col min="27" max="27" width="14.85546875" style="5" bestFit="1" customWidth="1"/>
    <col min="28" max="28" width="15.42578125" style="5" customWidth="1"/>
    <col min="29" max="29" width="17.85546875" style="5" bestFit="1" customWidth="1"/>
    <col min="30" max="30" width="1.7109375" style="34" customWidth="1"/>
    <col min="31" max="31" width="16.140625" style="5" hidden="1" customWidth="1"/>
    <col min="32" max="32" width="20.7109375" style="5" hidden="1" customWidth="1"/>
    <col min="33" max="34" width="12.28515625" style="5" hidden="1" customWidth="1"/>
    <col min="35" max="35" width="13.28515625" style="5" hidden="1" customWidth="1"/>
    <col min="36" max="36" width="12.28515625" style="5" hidden="1" customWidth="1"/>
    <col min="37" max="42" width="10.7109375" style="5" hidden="1" customWidth="1"/>
    <col min="43" max="43" width="14.28515625" style="5" hidden="1" customWidth="1"/>
    <col min="44" max="44" width="9.140625" style="5" hidden="1" customWidth="1"/>
    <col min="45" max="45" width="6.140625" style="5" hidden="1" customWidth="1"/>
    <col min="46" max="46" width="9.140625" style="5" hidden="1" customWidth="1"/>
    <col min="47" max="47" width="12.5703125" style="5" hidden="1" customWidth="1"/>
    <col min="48" max="48" width="12.5703125" style="5" bestFit="1" customWidth="1"/>
    <col min="49" max="16384" width="9.140625" style="5"/>
  </cols>
  <sheetData>
    <row r="1" spans="1:45" ht="23.25" x14ac:dyDescent="0.2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2" t="s">
        <v>0</v>
      </c>
      <c r="AF1" s="2"/>
      <c r="AG1" s="2"/>
      <c r="AH1" s="2"/>
      <c r="AI1" s="2"/>
      <c r="AJ1" s="2"/>
      <c r="AK1" s="4"/>
      <c r="AL1" s="4"/>
      <c r="AM1" s="4"/>
      <c r="AN1" s="4"/>
      <c r="AO1" s="4"/>
      <c r="AP1" s="4"/>
      <c r="AQ1" s="4"/>
      <c r="AR1" s="4"/>
      <c r="AS1" s="4"/>
    </row>
    <row r="2" spans="1:45" ht="23.25" x14ac:dyDescent="0.2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6"/>
      <c r="O2" s="2"/>
      <c r="P2" s="2"/>
      <c r="Q2" s="2"/>
      <c r="R2" s="2"/>
      <c r="S2" s="7" t="s">
        <v>1</v>
      </c>
      <c r="T2" s="7"/>
      <c r="U2" s="7"/>
      <c r="V2" s="7"/>
      <c r="W2" s="7"/>
      <c r="X2" s="2"/>
      <c r="Y2" s="2"/>
      <c r="Z2" s="2"/>
      <c r="AA2" s="2"/>
      <c r="AB2" s="2"/>
      <c r="AC2" s="2"/>
      <c r="AD2" s="3"/>
      <c r="AE2" s="2"/>
      <c r="AF2" s="2"/>
      <c r="AG2" s="2"/>
      <c r="AH2" s="2"/>
      <c r="AI2" s="2"/>
      <c r="AJ2" s="2"/>
      <c r="AK2" s="8" t="s">
        <v>2</v>
      </c>
      <c r="AL2" s="8"/>
      <c r="AM2" s="8"/>
      <c r="AN2" s="8"/>
      <c r="AO2" s="8"/>
      <c r="AP2" s="8"/>
      <c r="AQ2" s="8"/>
      <c r="AR2" s="8"/>
      <c r="AS2" s="8"/>
    </row>
    <row r="3" spans="1:45" ht="24" customHeight="1" x14ac:dyDescent="0.2">
      <c r="A3" s="9"/>
      <c r="B3" s="9"/>
      <c r="C3" s="9"/>
      <c r="D3" s="9"/>
      <c r="E3" s="9"/>
      <c r="F3" s="10"/>
      <c r="G3" s="10"/>
      <c r="H3" s="11"/>
      <c r="I3" s="10"/>
      <c r="J3" s="10"/>
      <c r="K3" s="12" t="s">
        <v>3</v>
      </c>
      <c r="L3" s="13" t="s">
        <v>4</v>
      </c>
      <c r="M3" s="14"/>
      <c r="N3" s="14"/>
      <c r="O3" s="14"/>
      <c r="P3" s="14"/>
      <c r="Q3" s="14"/>
      <c r="R3" s="14"/>
      <c r="S3" s="14"/>
      <c r="T3" s="5"/>
      <c r="U3" s="10"/>
      <c r="V3" s="10"/>
      <c r="W3" s="15"/>
      <c r="X3" s="15"/>
      <c r="Y3" s="15"/>
      <c r="Z3" s="15"/>
      <c r="AA3" s="15"/>
      <c r="AB3" s="15"/>
      <c r="AD3" s="16"/>
      <c r="AK3" s="17" t="s">
        <v>5</v>
      </c>
      <c r="AL3" s="18">
        <v>0.03</v>
      </c>
      <c r="AM3" s="17" t="s">
        <v>6</v>
      </c>
      <c r="AN3" s="19"/>
      <c r="AO3" s="20">
        <v>10</v>
      </c>
      <c r="AP3" s="21"/>
      <c r="AQ3" s="22"/>
      <c r="AR3" s="23"/>
      <c r="AS3" s="22"/>
    </row>
    <row r="4" spans="1:45" ht="31.5" customHeight="1" x14ac:dyDescent="0.2">
      <c r="H4" s="25"/>
      <c r="Q4" s="27" t="s">
        <v>7</v>
      </c>
      <c r="R4" s="28"/>
      <c r="S4" s="29" t="s">
        <v>8</v>
      </c>
      <c r="T4" s="30"/>
      <c r="U4" s="31"/>
      <c r="V4" s="32" t="s">
        <v>7</v>
      </c>
      <c r="W4" s="32"/>
      <c r="X4" s="32"/>
      <c r="Y4" s="32"/>
      <c r="Z4" s="32"/>
      <c r="AA4" s="32"/>
      <c r="AB4" s="33" t="s">
        <v>8</v>
      </c>
      <c r="AF4" s="17" t="s">
        <v>9</v>
      </c>
      <c r="AG4" s="35">
        <v>9.9723999999999993E-2</v>
      </c>
    </row>
    <row r="5" spans="1:45" s="44" customFormat="1" ht="59.25" customHeight="1" x14ac:dyDescent="0.2">
      <c r="A5" s="36" t="s">
        <v>10</v>
      </c>
      <c r="B5" s="36" t="s">
        <v>11</v>
      </c>
      <c r="C5" s="36" t="s">
        <v>12</v>
      </c>
      <c r="D5" s="36" t="s">
        <v>13</v>
      </c>
      <c r="E5" s="36" t="s">
        <v>14</v>
      </c>
      <c r="F5" s="36" t="s">
        <v>15</v>
      </c>
      <c r="G5" s="36" t="s">
        <v>16</v>
      </c>
      <c r="H5" s="36" t="s">
        <v>17</v>
      </c>
      <c r="I5" s="36" t="s">
        <v>18</v>
      </c>
      <c r="J5" s="37" t="s">
        <v>19</v>
      </c>
      <c r="K5" s="36" t="s">
        <v>20</v>
      </c>
      <c r="L5" s="36" t="s">
        <v>21</v>
      </c>
      <c r="M5" s="36" t="s">
        <v>22</v>
      </c>
      <c r="N5" s="36" t="s">
        <v>23</v>
      </c>
      <c r="O5" s="36" t="s">
        <v>24</v>
      </c>
      <c r="P5" s="36" t="s">
        <v>25</v>
      </c>
      <c r="Q5" s="36" t="s">
        <v>26</v>
      </c>
      <c r="R5" s="38" t="s">
        <v>27</v>
      </c>
      <c r="S5" s="38" t="s">
        <v>28</v>
      </c>
      <c r="T5" s="38" t="s">
        <v>29</v>
      </c>
      <c r="U5" s="39" t="s">
        <v>30</v>
      </c>
      <c r="V5" s="38" t="s">
        <v>31</v>
      </c>
      <c r="W5" s="38" t="s">
        <v>32</v>
      </c>
      <c r="X5" s="38" t="s">
        <v>33</v>
      </c>
      <c r="Y5" s="38" t="s">
        <v>34</v>
      </c>
      <c r="Z5" s="38" t="s">
        <v>35</v>
      </c>
      <c r="AA5" s="38" t="s">
        <v>36</v>
      </c>
      <c r="AB5" s="38" t="s">
        <v>37</v>
      </c>
      <c r="AC5" s="38" t="s">
        <v>38</v>
      </c>
      <c r="AD5" s="34"/>
      <c r="AE5" s="40"/>
      <c r="AF5" s="41">
        <v>1101</v>
      </c>
      <c r="AG5" s="42" t="s">
        <v>39</v>
      </c>
      <c r="AH5" s="41">
        <v>1311</v>
      </c>
      <c r="AI5" s="41">
        <v>1312</v>
      </c>
      <c r="AJ5" s="41">
        <v>1325</v>
      </c>
      <c r="AK5" s="41">
        <v>1401</v>
      </c>
      <c r="AL5" s="41">
        <v>1402</v>
      </c>
      <c r="AM5" s="41">
        <v>1404</v>
      </c>
      <c r="AN5" s="41">
        <v>1405</v>
      </c>
      <c r="AO5" s="41">
        <v>1601</v>
      </c>
      <c r="AP5" s="41">
        <v>1602</v>
      </c>
      <c r="AQ5" s="43" t="s">
        <v>40</v>
      </c>
    </row>
    <row r="6" spans="1:45" s="51" customFormat="1" ht="23.1" customHeight="1" x14ac:dyDescent="0.2">
      <c r="A6" s="45">
        <v>1</v>
      </c>
      <c r="B6" s="45">
        <v>9</v>
      </c>
      <c r="C6" s="45">
        <v>21</v>
      </c>
      <c r="D6" s="45">
        <v>20</v>
      </c>
      <c r="E6" s="45">
        <v>1</v>
      </c>
      <c r="F6" s="45">
        <v>1</v>
      </c>
      <c r="G6" s="45" t="s">
        <v>41</v>
      </c>
      <c r="H6" s="46" t="s">
        <v>42</v>
      </c>
      <c r="I6" s="46" t="s">
        <v>43</v>
      </c>
      <c r="J6" s="47">
        <v>39217</v>
      </c>
      <c r="K6" s="48">
        <v>12</v>
      </c>
      <c r="L6" s="48">
        <v>40</v>
      </c>
      <c r="M6" s="48" t="s">
        <v>44</v>
      </c>
      <c r="N6" s="46" t="s">
        <v>45</v>
      </c>
      <c r="O6" s="48">
        <v>1</v>
      </c>
      <c r="P6" s="46" t="s">
        <v>46</v>
      </c>
      <c r="Q6" s="49">
        <v>11695.62</v>
      </c>
      <c r="R6" s="49">
        <f>+$B$90*2</f>
        <v>126.58</v>
      </c>
      <c r="S6" s="49">
        <f>+((Q6+AB6/12)/30)*20*25%</f>
        <v>2046.7335000000003</v>
      </c>
      <c r="T6" s="49">
        <f t="shared" ref="T6:T22" si="0">(Q6+(AB6/12))/30*50</f>
        <v>20467.335000000003</v>
      </c>
      <c r="U6" s="49">
        <f t="shared" ref="U6:U22" si="1">(Q6+(AB6/12))/30*15</f>
        <v>6140.2005000000008</v>
      </c>
      <c r="V6" s="50">
        <f>(Q6+(AB6/12))*10.5%</f>
        <v>1289.4421050000001</v>
      </c>
      <c r="W6" s="50">
        <f t="shared" ref="W6:W22" si="2">(Q6+(AB6/12))*3%</f>
        <v>368.41203000000002</v>
      </c>
      <c r="X6" s="50">
        <f>($Q$6+(AB6/12))*6%-$AE$94</f>
        <v>731.91148993650472</v>
      </c>
      <c r="Y6" s="50">
        <f t="shared" ref="Y6:Y22" si="3">(Q6+(AB6/12))*2%</f>
        <v>245.60802000000004</v>
      </c>
      <c r="Z6" s="50">
        <v>700</v>
      </c>
      <c r="AA6" s="50">
        <v>400</v>
      </c>
      <c r="AB6" s="50">
        <f>+Q6*0.05*12</f>
        <v>7017.3720000000012</v>
      </c>
      <c r="AC6" s="50">
        <f>+(Q6+R6+V6+W6+X6+Y6+Z6+AA6)*12+S6+T6+U6+AB6</f>
        <v>222362.52473923806</v>
      </c>
      <c r="AD6" s="34"/>
    </row>
    <row r="7" spans="1:45" s="55" customFormat="1" ht="23.1" customHeight="1" x14ac:dyDescent="0.2">
      <c r="A7" s="45">
        <f>+A6+1</f>
        <v>2</v>
      </c>
      <c r="B7" s="45">
        <v>9</v>
      </c>
      <c r="C7" s="45">
        <v>21</v>
      </c>
      <c r="D7" s="45">
        <v>20</v>
      </c>
      <c r="E7" s="45">
        <v>1</v>
      </c>
      <c r="F7" s="45">
        <v>1</v>
      </c>
      <c r="G7" s="45" t="s">
        <v>47</v>
      </c>
      <c r="H7" s="46" t="s">
        <v>48</v>
      </c>
      <c r="I7" s="46" t="s">
        <v>49</v>
      </c>
      <c r="J7" s="47">
        <v>38883</v>
      </c>
      <c r="K7" s="48">
        <v>9</v>
      </c>
      <c r="L7" s="48">
        <v>40</v>
      </c>
      <c r="M7" s="48" t="s">
        <v>44</v>
      </c>
      <c r="N7" s="52" t="s">
        <v>50</v>
      </c>
      <c r="O7" s="48">
        <v>1</v>
      </c>
      <c r="P7" s="46" t="s">
        <v>51</v>
      </c>
      <c r="Q7" s="49">
        <v>10237</v>
      </c>
      <c r="R7" s="49">
        <f>+$B$90*2</f>
        <v>126.58</v>
      </c>
      <c r="S7" s="49">
        <f t="shared" ref="S7:S22" si="4">+((Q7+AB7/12)/30)*20*25%</f>
        <v>1808.5366666666666</v>
      </c>
      <c r="T7" s="49">
        <f t="shared" si="0"/>
        <v>18085.366666666669</v>
      </c>
      <c r="U7" s="49">
        <f t="shared" si="1"/>
        <v>5425.61</v>
      </c>
      <c r="V7" s="50">
        <f t="shared" ref="V7:V22" si="5">(Q7+(AB7/12))*10.5%</f>
        <v>1139.3780999999999</v>
      </c>
      <c r="W7" s="50">
        <f t="shared" si="2"/>
        <v>325.53659999999996</v>
      </c>
      <c r="X7" s="50">
        <f>(Q7+(AB7/12))*7%-AE94</f>
        <v>754.67282993650474</v>
      </c>
      <c r="Y7" s="50">
        <f t="shared" si="3"/>
        <v>217.02439999999999</v>
      </c>
      <c r="Z7" s="50">
        <v>700</v>
      </c>
      <c r="AA7" s="50">
        <v>400</v>
      </c>
      <c r="AB7" s="50">
        <f>+Q7*0.06*12</f>
        <v>7370.64</v>
      </c>
      <c r="AC7" s="50">
        <f t="shared" ref="AC7:AC22" si="6">+(Q7+R7+V7+W7+X7+Y7+Z7+AA7)*12+S7+T7+U7+AB7</f>
        <v>199492.45649257136</v>
      </c>
      <c r="AD7" s="34"/>
      <c r="AE7" s="53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43"/>
    </row>
    <row r="8" spans="1:45" s="55" customFormat="1" ht="23.1" customHeight="1" x14ac:dyDescent="0.2">
      <c r="A8" s="45">
        <f t="shared" ref="A8:A22" si="7">+A7+1</f>
        <v>3</v>
      </c>
      <c r="B8" s="45">
        <v>9</v>
      </c>
      <c r="C8" s="45">
        <v>21</v>
      </c>
      <c r="D8" s="45">
        <v>20</v>
      </c>
      <c r="E8" s="45">
        <v>1</v>
      </c>
      <c r="F8" s="45">
        <v>1</v>
      </c>
      <c r="G8" s="45" t="s">
        <v>52</v>
      </c>
      <c r="H8" s="46" t="s">
        <v>53</v>
      </c>
      <c r="I8" s="46" t="s">
        <v>54</v>
      </c>
      <c r="J8" s="47">
        <v>36678</v>
      </c>
      <c r="K8" s="48">
        <v>25</v>
      </c>
      <c r="L8" s="48">
        <v>40</v>
      </c>
      <c r="M8" s="48" t="s">
        <v>55</v>
      </c>
      <c r="N8" s="46" t="s">
        <v>56</v>
      </c>
      <c r="O8" s="48">
        <v>1</v>
      </c>
      <c r="P8" s="46" t="s">
        <v>51</v>
      </c>
      <c r="Q8" s="49">
        <v>47106</v>
      </c>
      <c r="R8" s="49">
        <f>+$B$90*3</f>
        <v>189.87</v>
      </c>
      <c r="S8" s="49">
        <f t="shared" si="4"/>
        <v>8008.02</v>
      </c>
      <c r="T8" s="49">
        <f t="shared" si="0"/>
        <v>80080.2</v>
      </c>
      <c r="U8" s="49">
        <f t="shared" si="1"/>
        <v>24024.06</v>
      </c>
      <c r="V8" s="50">
        <f t="shared" si="5"/>
        <v>5045.0526</v>
      </c>
      <c r="W8" s="50">
        <f t="shared" si="2"/>
        <v>1441.4436000000001</v>
      </c>
      <c r="X8" s="50">
        <f>(Q8+(AB8/12))*3%-AE94</f>
        <v>1436.5310299365046</v>
      </c>
      <c r="Y8" s="50">
        <f t="shared" si="3"/>
        <v>960.96240000000012</v>
      </c>
      <c r="Z8" s="50">
        <v>700</v>
      </c>
      <c r="AA8" s="50">
        <v>400</v>
      </c>
      <c r="AB8" s="50">
        <f>+Q8*0.02*12</f>
        <v>11305.44</v>
      </c>
      <c r="AC8" s="50">
        <f t="shared" si="6"/>
        <v>810776.03555923805</v>
      </c>
      <c r="AD8" s="34"/>
      <c r="AE8" s="53"/>
      <c r="AF8" s="54">
        <v>219.5</v>
      </c>
      <c r="AG8" s="54">
        <v>219.5</v>
      </c>
      <c r="AH8" s="54">
        <v>36.583333333333329</v>
      </c>
      <c r="AI8" s="54">
        <v>365.83333333333331</v>
      </c>
      <c r="AJ8" s="54">
        <v>109.75</v>
      </c>
      <c r="AK8" s="54">
        <v>10.975</v>
      </c>
      <c r="AL8" s="54">
        <v>6.585</v>
      </c>
      <c r="AM8" s="54">
        <v>21.889417999999999</v>
      </c>
      <c r="AN8" s="54">
        <v>4.3899999999999997</v>
      </c>
      <c r="AO8" s="54">
        <v>21.95</v>
      </c>
      <c r="AP8" s="54">
        <v>21.95</v>
      </c>
      <c r="AQ8" s="43">
        <v>3891.8002646666669</v>
      </c>
    </row>
    <row r="9" spans="1:45" s="55" customFormat="1" ht="23.1" customHeight="1" x14ac:dyDescent="0.2">
      <c r="A9" s="45">
        <f t="shared" si="7"/>
        <v>4</v>
      </c>
      <c r="B9" s="45">
        <v>9</v>
      </c>
      <c r="C9" s="45">
        <v>21</v>
      </c>
      <c r="D9" s="45">
        <v>20</v>
      </c>
      <c r="E9" s="45">
        <v>1</v>
      </c>
      <c r="F9" s="45">
        <v>1</v>
      </c>
      <c r="G9" s="45" t="s">
        <v>57</v>
      </c>
      <c r="H9" s="52" t="s">
        <v>58</v>
      </c>
      <c r="I9" s="52" t="s">
        <v>59</v>
      </c>
      <c r="J9" s="56">
        <v>38798</v>
      </c>
      <c r="K9" s="57">
        <v>12</v>
      </c>
      <c r="L9" s="57">
        <v>40</v>
      </c>
      <c r="M9" s="57" t="s">
        <v>44</v>
      </c>
      <c r="N9" s="52" t="s">
        <v>60</v>
      </c>
      <c r="O9" s="57">
        <v>1</v>
      </c>
      <c r="P9" s="52" t="s">
        <v>46</v>
      </c>
      <c r="Q9" s="49">
        <v>11695.62</v>
      </c>
      <c r="R9" s="49">
        <f>+$B$90*2</f>
        <v>126.58</v>
      </c>
      <c r="S9" s="49">
        <f t="shared" si="4"/>
        <v>2046.7335000000003</v>
      </c>
      <c r="T9" s="49">
        <f t="shared" si="0"/>
        <v>20467.335000000003</v>
      </c>
      <c r="U9" s="49">
        <f t="shared" si="1"/>
        <v>6140.2005000000008</v>
      </c>
      <c r="V9" s="50">
        <f t="shared" si="5"/>
        <v>1289.4421050000001</v>
      </c>
      <c r="W9" s="50">
        <f t="shared" si="2"/>
        <v>368.41203000000002</v>
      </c>
      <c r="X9" s="50">
        <f>(Q9+(AB9/12))*7%-AE94</f>
        <v>854.7154999365049</v>
      </c>
      <c r="Y9" s="50">
        <f t="shared" si="3"/>
        <v>245.60802000000004</v>
      </c>
      <c r="Z9" s="50">
        <v>700</v>
      </c>
      <c r="AA9" s="50">
        <v>400</v>
      </c>
      <c r="AB9" s="50">
        <f>+Q9*0.05*12</f>
        <v>7017.3720000000012</v>
      </c>
      <c r="AC9" s="50">
        <f t="shared" si="6"/>
        <v>223836.17285923805</v>
      </c>
      <c r="AD9" s="34"/>
      <c r="AE9" s="53"/>
      <c r="AF9" s="54">
        <v>177.5</v>
      </c>
      <c r="AG9" s="54">
        <v>177.5</v>
      </c>
      <c r="AH9" s="54">
        <v>29.583333333333336</v>
      </c>
      <c r="AI9" s="54">
        <v>295.83333333333337</v>
      </c>
      <c r="AJ9" s="54">
        <v>88.75</v>
      </c>
      <c r="AK9" s="54">
        <v>8.875</v>
      </c>
      <c r="AL9" s="54">
        <v>5.3250000000000002</v>
      </c>
      <c r="AM9" s="54">
        <v>17.70101</v>
      </c>
      <c r="AN9" s="54">
        <v>3.55</v>
      </c>
      <c r="AO9" s="54">
        <v>17.75</v>
      </c>
      <c r="AP9" s="54">
        <v>17.75</v>
      </c>
      <c r="AQ9" s="43">
        <v>3147.1277766666672</v>
      </c>
    </row>
    <row r="10" spans="1:45" s="51" customFormat="1" ht="23.1" customHeight="1" x14ac:dyDescent="0.2">
      <c r="A10" s="45">
        <f t="shared" si="7"/>
        <v>5</v>
      </c>
      <c r="B10" s="45">
        <v>9</v>
      </c>
      <c r="C10" s="45">
        <v>21</v>
      </c>
      <c r="D10" s="45">
        <v>20</v>
      </c>
      <c r="E10" s="45">
        <v>1</v>
      </c>
      <c r="F10" s="45">
        <v>1</v>
      </c>
      <c r="G10" s="45" t="s">
        <v>61</v>
      </c>
      <c r="H10" s="52" t="s">
        <v>62</v>
      </c>
      <c r="I10" s="52" t="s">
        <v>63</v>
      </c>
      <c r="J10" s="56">
        <v>39650</v>
      </c>
      <c r="K10" s="57">
        <v>19</v>
      </c>
      <c r="L10" s="57">
        <v>40</v>
      </c>
      <c r="M10" s="57" t="s">
        <v>55</v>
      </c>
      <c r="N10" s="52" t="s">
        <v>64</v>
      </c>
      <c r="O10" s="48">
        <v>1</v>
      </c>
      <c r="P10" s="52" t="s">
        <v>46</v>
      </c>
      <c r="Q10" s="49">
        <v>24533</v>
      </c>
      <c r="R10" s="49">
        <f>+$B$90*2</f>
        <v>126.58</v>
      </c>
      <c r="S10" s="49">
        <f t="shared" si="4"/>
        <v>4170.6099999999997</v>
      </c>
      <c r="T10" s="49">
        <f t="shared" si="0"/>
        <v>41706.1</v>
      </c>
      <c r="U10" s="49">
        <f t="shared" si="1"/>
        <v>12511.83</v>
      </c>
      <c r="V10" s="50">
        <f t="shared" si="5"/>
        <v>2627.4843000000001</v>
      </c>
      <c r="W10" s="50">
        <f t="shared" si="2"/>
        <v>750.70979999999997</v>
      </c>
      <c r="X10" s="50">
        <f>(Q10+(AB10/12))*4%-AE94</f>
        <v>996.03382993650473</v>
      </c>
      <c r="Y10" s="50">
        <f t="shared" si="3"/>
        <v>500.47320000000002</v>
      </c>
      <c r="Z10" s="50">
        <v>700</v>
      </c>
      <c r="AA10" s="50">
        <v>400</v>
      </c>
      <c r="AB10" s="50">
        <f>+Q10*0.02*12</f>
        <v>5887.92</v>
      </c>
      <c r="AC10" s="50">
        <f>+(Q10+R10+V10+W10+X10+Y10+Z10+AA10)*12+S10+T10+U10+AB10</f>
        <v>431887.833559238</v>
      </c>
      <c r="AD10" s="34"/>
      <c r="AE10" s="58"/>
    </row>
    <row r="11" spans="1:45" s="51" customFormat="1" ht="23.1" customHeight="1" x14ac:dyDescent="0.2">
      <c r="A11" s="45">
        <f t="shared" si="7"/>
        <v>6</v>
      </c>
      <c r="B11" s="45">
        <v>9</v>
      </c>
      <c r="C11" s="45">
        <v>21</v>
      </c>
      <c r="D11" s="45">
        <v>20</v>
      </c>
      <c r="E11" s="45">
        <v>1</v>
      </c>
      <c r="F11" s="45">
        <v>1</v>
      </c>
      <c r="G11" s="45" t="s">
        <v>65</v>
      </c>
      <c r="H11" s="52" t="s">
        <v>66</v>
      </c>
      <c r="I11" s="52" t="s">
        <v>67</v>
      </c>
      <c r="J11" s="56">
        <v>40772</v>
      </c>
      <c r="K11" s="57">
        <v>15</v>
      </c>
      <c r="L11" s="57">
        <v>40</v>
      </c>
      <c r="M11" s="57" t="s">
        <v>44</v>
      </c>
      <c r="N11" s="52" t="s">
        <v>68</v>
      </c>
      <c r="O11" s="48">
        <v>1</v>
      </c>
      <c r="P11" s="52" t="s">
        <v>51</v>
      </c>
      <c r="Q11" s="49">
        <v>14104.76</v>
      </c>
      <c r="R11" s="59"/>
      <c r="S11" s="49">
        <f t="shared" si="4"/>
        <v>2397.8092000000001</v>
      </c>
      <c r="T11" s="49">
        <f>(Q11+(AB11/12))/30*50</f>
        <v>23978.092000000001</v>
      </c>
      <c r="U11" s="49">
        <f>(Q11+(AB11/12))/30*15</f>
        <v>7193.4276</v>
      </c>
      <c r="V11" s="50">
        <f t="shared" si="5"/>
        <v>1510.619796</v>
      </c>
      <c r="W11" s="50">
        <f t="shared" si="2"/>
        <v>431.60565600000001</v>
      </c>
      <c r="X11" s="50">
        <f>(Q11+(AB11/12))*5%-AE94</f>
        <v>714.43018993650469</v>
      </c>
      <c r="Y11" s="50">
        <f>(Q11+(AB11/12))*2%</f>
        <v>287.73710399999999</v>
      </c>
      <c r="Z11" s="50">
        <v>700</v>
      </c>
      <c r="AA11" s="50">
        <v>400</v>
      </c>
      <c r="AB11" s="50">
        <f>+Q11*0.02*12</f>
        <v>3385.1424000000006</v>
      </c>
      <c r="AC11" s="50">
        <f t="shared" si="6"/>
        <v>254744.30415123809</v>
      </c>
      <c r="AD11" s="34"/>
      <c r="AE11" s="58"/>
    </row>
    <row r="12" spans="1:45" s="55" customFormat="1" ht="23.1" customHeight="1" x14ac:dyDescent="0.2">
      <c r="A12" s="45">
        <f t="shared" si="7"/>
        <v>7</v>
      </c>
      <c r="B12" s="45">
        <v>9</v>
      </c>
      <c r="C12" s="45">
        <v>21</v>
      </c>
      <c r="D12" s="45">
        <v>20</v>
      </c>
      <c r="E12" s="45">
        <v>1</v>
      </c>
      <c r="F12" s="45">
        <v>1</v>
      </c>
      <c r="G12" s="45" t="s">
        <v>69</v>
      </c>
      <c r="H12" s="46" t="s">
        <v>70</v>
      </c>
      <c r="I12" s="46" t="s">
        <v>71</v>
      </c>
      <c r="J12" s="47">
        <v>39037</v>
      </c>
      <c r="K12" s="48">
        <v>2</v>
      </c>
      <c r="L12" s="48">
        <v>20</v>
      </c>
      <c r="M12" s="48" t="s">
        <v>44</v>
      </c>
      <c r="N12" s="46" t="s">
        <v>72</v>
      </c>
      <c r="O12" s="48">
        <v>1</v>
      </c>
      <c r="P12" s="52" t="s">
        <v>46</v>
      </c>
      <c r="Q12" s="49">
        <v>3332.48</v>
      </c>
      <c r="R12" s="49">
        <f>+$B$90*2</f>
        <v>126.58</v>
      </c>
      <c r="S12" s="49">
        <f t="shared" si="4"/>
        <v>588.73813333333339</v>
      </c>
      <c r="T12" s="49">
        <f t="shared" si="0"/>
        <v>5887.3813333333337</v>
      </c>
      <c r="U12" s="49">
        <f t="shared" si="1"/>
        <v>1766.2144000000001</v>
      </c>
      <c r="V12" s="50">
        <f t="shared" si="5"/>
        <v>370.90502400000003</v>
      </c>
      <c r="W12" s="50">
        <f t="shared" si="2"/>
        <v>105.972864</v>
      </c>
      <c r="X12" s="50">
        <f>(Q12+(AB12/12))*15%-AE94</f>
        <v>524.95174993650471</v>
      </c>
      <c r="Y12" s="50">
        <f t="shared" si="3"/>
        <v>70.648576000000006</v>
      </c>
      <c r="Z12" s="50">
        <v>700</v>
      </c>
      <c r="AA12" s="50">
        <v>400</v>
      </c>
      <c r="AB12" s="50">
        <f>+Q12*0.06*12</f>
        <v>2399.3856000000001</v>
      </c>
      <c r="AC12" s="50">
        <f t="shared" si="6"/>
        <v>78220.178033904725</v>
      </c>
      <c r="AD12" s="34"/>
      <c r="AE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43"/>
    </row>
    <row r="13" spans="1:45" s="51" customFormat="1" ht="23.1" customHeight="1" x14ac:dyDescent="0.2">
      <c r="A13" s="45">
        <f t="shared" si="7"/>
        <v>8</v>
      </c>
      <c r="B13" s="45">
        <v>9</v>
      </c>
      <c r="C13" s="45">
        <v>21</v>
      </c>
      <c r="D13" s="45">
        <v>20</v>
      </c>
      <c r="E13" s="45">
        <v>1</v>
      </c>
      <c r="F13" s="45">
        <v>1</v>
      </c>
      <c r="G13" s="45" t="s">
        <v>73</v>
      </c>
      <c r="H13" s="52" t="s">
        <v>74</v>
      </c>
      <c r="I13" s="52" t="s">
        <v>75</v>
      </c>
      <c r="J13" s="56">
        <v>37949</v>
      </c>
      <c r="K13" s="57">
        <v>11</v>
      </c>
      <c r="L13" s="57">
        <v>40</v>
      </c>
      <c r="M13" s="57" t="s">
        <v>44</v>
      </c>
      <c r="N13" s="52" t="s">
        <v>76</v>
      </c>
      <c r="O13" s="57">
        <v>1</v>
      </c>
      <c r="P13" s="46" t="s">
        <v>51</v>
      </c>
      <c r="Q13" s="49">
        <v>11633</v>
      </c>
      <c r="R13" s="49">
        <f>+$B$90*3</f>
        <v>189.87</v>
      </c>
      <c r="S13" s="49">
        <f t="shared" si="4"/>
        <v>2055.1633333333334</v>
      </c>
      <c r="T13" s="49">
        <f t="shared" si="0"/>
        <v>20551.633333333335</v>
      </c>
      <c r="U13" s="49">
        <f t="shared" si="1"/>
        <v>6165.49</v>
      </c>
      <c r="V13" s="50">
        <f t="shared" si="5"/>
        <v>1294.7529</v>
      </c>
      <c r="W13" s="50">
        <f t="shared" si="2"/>
        <v>369.92939999999999</v>
      </c>
      <c r="X13" s="50">
        <f>(Q13+(AB13/12))*4%-AE94</f>
        <v>488.32662993650462</v>
      </c>
      <c r="Y13" s="50">
        <f t="shared" si="3"/>
        <v>246.61959999999999</v>
      </c>
      <c r="Z13" s="50">
        <v>700</v>
      </c>
      <c r="AA13" s="50">
        <v>400</v>
      </c>
      <c r="AB13" s="50">
        <f>+Q13*0.06*12</f>
        <v>8375.76</v>
      </c>
      <c r="AC13" s="50">
        <f t="shared" si="6"/>
        <v>221018.02902590469</v>
      </c>
      <c r="AD13" s="34"/>
      <c r="AE13" s="58"/>
    </row>
    <row r="14" spans="1:45" s="51" customFormat="1" ht="23.1" customHeight="1" x14ac:dyDescent="0.2">
      <c r="A14" s="45">
        <f t="shared" si="7"/>
        <v>9</v>
      </c>
      <c r="B14" s="45">
        <v>9</v>
      </c>
      <c r="C14" s="45">
        <v>21</v>
      </c>
      <c r="D14" s="45">
        <v>20</v>
      </c>
      <c r="E14" s="45">
        <v>1</v>
      </c>
      <c r="F14" s="45">
        <v>1</v>
      </c>
      <c r="G14" s="45" t="s">
        <v>77</v>
      </c>
      <c r="H14" s="52" t="s">
        <v>78</v>
      </c>
      <c r="I14" s="52" t="s">
        <v>79</v>
      </c>
      <c r="J14" s="56">
        <v>37196</v>
      </c>
      <c r="K14" s="57">
        <v>1</v>
      </c>
      <c r="L14" s="57">
        <v>40</v>
      </c>
      <c r="M14" s="57" t="s">
        <v>44</v>
      </c>
      <c r="N14" s="52" t="s">
        <v>80</v>
      </c>
      <c r="O14" s="48">
        <v>1</v>
      </c>
      <c r="P14" s="52" t="s">
        <v>46</v>
      </c>
      <c r="Q14" s="49">
        <v>6401.46</v>
      </c>
      <c r="R14" s="49">
        <f>+$B$90*3</f>
        <v>189.87</v>
      </c>
      <c r="S14" s="49">
        <f t="shared" si="4"/>
        <v>1130.9246000000001</v>
      </c>
      <c r="T14" s="49">
        <f t="shared" si="0"/>
        <v>11309.246000000001</v>
      </c>
      <c r="U14" s="49">
        <f t="shared" si="1"/>
        <v>3392.7737999999999</v>
      </c>
      <c r="V14" s="50">
        <f t="shared" si="5"/>
        <v>712.48249799999996</v>
      </c>
      <c r="W14" s="50">
        <f t="shared" si="2"/>
        <v>203.566428</v>
      </c>
      <c r="X14" s="50">
        <f>(Q14+(AB14/12))*9%-AE94</f>
        <v>605.78671393650461</v>
      </c>
      <c r="Y14" s="50">
        <f t="shared" si="3"/>
        <v>135.71095199999999</v>
      </c>
      <c r="Z14" s="50">
        <v>700</v>
      </c>
      <c r="AA14" s="50">
        <v>400</v>
      </c>
      <c r="AB14" s="50">
        <f>+Q14*0.06*12</f>
        <v>4609.0511999999999</v>
      </c>
      <c r="AC14" s="50">
        <f t="shared" si="6"/>
        <v>132628.51470323806</v>
      </c>
      <c r="AD14" s="34"/>
      <c r="AE14" s="58"/>
    </row>
    <row r="15" spans="1:45" s="51" customFormat="1" ht="23.1" customHeight="1" x14ac:dyDescent="0.2">
      <c r="A15" s="45">
        <f t="shared" si="7"/>
        <v>10</v>
      </c>
      <c r="B15" s="45">
        <v>9</v>
      </c>
      <c r="C15" s="45">
        <v>21</v>
      </c>
      <c r="D15" s="45">
        <v>20</v>
      </c>
      <c r="E15" s="45">
        <v>1</v>
      </c>
      <c r="F15" s="45">
        <v>1</v>
      </c>
      <c r="G15" s="45" t="s">
        <v>81</v>
      </c>
      <c r="H15" s="52" t="s">
        <v>82</v>
      </c>
      <c r="I15" s="52" t="s">
        <v>83</v>
      </c>
      <c r="J15" s="56">
        <v>37333</v>
      </c>
      <c r="K15" s="57">
        <v>12</v>
      </c>
      <c r="L15" s="57">
        <v>40</v>
      </c>
      <c r="M15" s="57" t="s">
        <v>44</v>
      </c>
      <c r="N15" s="52" t="s">
        <v>84</v>
      </c>
      <c r="O15" s="57">
        <v>1</v>
      </c>
      <c r="P15" s="52" t="s">
        <v>46</v>
      </c>
      <c r="Q15" s="49">
        <v>11695.62</v>
      </c>
      <c r="R15" s="49">
        <f>+$B$90*3</f>
        <v>189.87</v>
      </c>
      <c r="S15" s="49">
        <f t="shared" si="4"/>
        <v>2046.7335000000003</v>
      </c>
      <c r="T15" s="49">
        <f t="shared" si="0"/>
        <v>20467.335000000003</v>
      </c>
      <c r="U15" s="49">
        <f t="shared" si="1"/>
        <v>6140.2005000000008</v>
      </c>
      <c r="V15" s="50">
        <f t="shared" si="5"/>
        <v>1289.4421050000001</v>
      </c>
      <c r="W15" s="50">
        <f t="shared" si="2"/>
        <v>368.41203000000002</v>
      </c>
      <c r="X15" s="50">
        <f>(Q15+(AB15/12))*6%-AE94</f>
        <v>731.91148993650472</v>
      </c>
      <c r="Y15" s="50">
        <f t="shared" si="3"/>
        <v>245.60802000000004</v>
      </c>
      <c r="Z15" s="50">
        <v>700</v>
      </c>
      <c r="AA15" s="50">
        <v>400</v>
      </c>
      <c r="AB15" s="50">
        <f>+Q15*0.05*12</f>
        <v>7017.3720000000012</v>
      </c>
      <c r="AC15" s="50">
        <f t="shared" si="6"/>
        <v>223122.00473923807</v>
      </c>
      <c r="AD15" s="34"/>
      <c r="AE15" s="58"/>
    </row>
    <row r="16" spans="1:45" s="51" customFormat="1" ht="23.1" customHeight="1" x14ac:dyDescent="0.2">
      <c r="A16" s="45">
        <f t="shared" si="7"/>
        <v>11</v>
      </c>
      <c r="B16" s="45">
        <v>9</v>
      </c>
      <c r="C16" s="45">
        <v>21</v>
      </c>
      <c r="D16" s="45">
        <v>20</v>
      </c>
      <c r="E16" s="45">
        <v>1</v>
      </c>
      <c r="F16" s="45">
        <v>1</v>
      </c>
      <c r="G16" s="45" t="s">
        <v>85</v>
      </c>
      <c r="H16" s="52" t="s">
        <v>86</v>
      </c>
      <c r="I16" s="52" t="s">
        <v>87</v>
      </c>
      <c r="J16" s="56">
        <v>38252</v>
      </c>
      <c r="K16" s="57">
        <v>1</v>
      </c>
      <c r="L16" s="57">
        <v>40</v>
      </c>
      <c r="M16" s="57" t="s">
        <v>44</v>
      </c>
      <c r="N16" s="52" t="s">
        <v>80</v>
      </c>
      <c r="O16" s="57">
        <v>1</v>
      </c>
      <c r="P16" s="52" t="s">
        <v>46</v>
      </c>
      <c r="Q16" s="49">
        <v>6401.46</v>
      </c>
      <c r="R16" s="60"/>
      <c r="S16" s="49">
        <f t="shared" si="4"/>
        <v>1130.9246000000001</v>
      </c>
      <c r="T16" s="49">
        <f t="shared" si="0"/>
        <v>11309.246000000001</v>
      </c>
      <c r="U16" s="49">
        <f t="shared" si="1"/>
        <v>3392.7737999999999</v>
      </c>
      <c r="V16" s="50">
        <f t="shared" si="5"/>
        <v>712.48249799999996</v>
      </c>
      <c r="W16" s="50">
        <f t="shared" si="2"/>
        <v>203.566428</v>
      </c>
      <c r="X16" s="50">
        <f>(Q16+(AB16/12))*9%-AE94</f>
        <v>605.78671393650461</v>
      </c>
      <c r="Y16" s="50">
        <f t="shared" si="3"/>
        <v>135.71095199999999</v>
      </c>
      <c r="Z16" s="50">
        <v>700</v>
      </c>
      <c r="AA16" s="50">
        <v>400</v>
      </c>
      <c r="AB16" s="50">
        <f>+Q16*0.06*12</f>
        <v>4609.0511999999999</v>
      </c>
      <c r="AC16" s="50">
        <f t="shared" si="6"/>
        <v>130350.07470323805</v>
      </c>
      <c r="AD16" s="34"/>
      <c r="AE16" s="58"/>
    </row>
    <row r="17" spans="1:47" s="51" customFormat="1" ht="23.1" customHeight="1" x14ac:dyDescent="0.2">
      <c r="A17" s="45">
        <f t="shared" si="7"/>
        <v>12</v>
      </c>
      <c r="B17" s="45">
        <v>9</v>
      </c>
      <c r="C17" s="45">
        <v>21</v>
      </c>
      <c r="D17" s="45">
        <v>20</v>
      </c>
      <c r="E17" s="45">
        <v>1</v>
      </c>
      <c r="F17" s="45">
        <v>1</v>
      </c>
      <c r="G17" s="45" t="s">
        <v>85</v>
      </c>
      <c r="H17" s="52" t="s">
        <v>88</v>
      </c>
      <c r="I17" s="52" t="s">
        <v>89</v>
      </c>
      <c r="J17" s="56">
        <v>37953</v>
      </c>
      <c r="K17" s="57">
        <v>2</v>
      </c>
      <c r="L17" s="57">
        <v>40</v>
      </c>
      <c r="M17" s="57" t="s">
        <v>44</v>
      </c>
      <c r="N17" s="52" t="s">
        <v>72</v>
      </c>
      <c r="O17" s="48">
        <v>1</v>
      </c>
      <c r="P17" s="52" t="s">
        <v>46</v>
      </c>
      <c r="Q17" s="49">
        <v>6664.94</v>
      </c>
      <c r="R17" s="49">
        <f>+$B$90*3</f>
        <v>189.87</v>
      </c>
      <c r="S17" s="49">
        <f t="shared" si="4"/>
        <v>1177.4727333333333</v>
      </c>
      <c r="T17" s="49">
        <f t="shared" si="0"/>
        <v>11774.727333333332</v>
      </c>
      <c r="U17" s="49">
        <f t="shared" si="1"/>
        <v>3532.4181999999996</v>
      </c>
      <c r="V17" s="50">
        <f t="shared" si="5"/>
        <v>741.80782199999987</v>
      </c>
      <c r="W17" s="50">
        <f t="shared" si="2"/>
        <v>211.94509199999996</v>
      </c>
      <c r="X17" s="50">
        <f>(Q17+(AB17/12))*9%-AE94</f>
        <v>630.9227059365046</v>
      </c>
      <c r="Y17" s="50">
        <f t="shared" si="3"/>
        <v>141.296728</v>
      </c>
      <c r="Z17" s="50">
        <v>700</v>
      </c>
      <c r="AA17" s="50">
        <v>400</v>
      </c>
      <c r="AB17" s="50">
        <f>+Q17*0.06*12</f>
        <v>4798.7567999999992</v>
      </c>
      <c r="AC17" s="50">
        <f t="shared" si="6"/>
        <v>137452.7632419047</v>
      </c>
      <c r="AD17" s="34"/>
      <c r="AE17" s="58"/>
    </row>
    <row r="18" spans="1:47" s="51" customFormat="1" ht="23.1" customHeight="1" x14ac:dyDescent="0.2">
      <c r="A18" s="45">
        <f t="shared" si="7"/>
        <v>13</v>
      </c>
      <c r="B18" s="45">
        <v>9</v>
      </c>
      <c r="C18" s="45">
        <v>21</v>
      </c>
      <c r="D18" s="45">
        <v>20</v>
      </c>
      <c r="E18" s="45">
        <v>1</v>
      </c>
      <c r="F18" s="45">
        <v>1</v>
      </c>
      <c r="G18" s="45" t="s">
        <v>90</v>
      </c>
      <c r="H18" s="52" t="s">
        <v>91</v>
      </c>
      <c r="I18" s="52" t="s">
        <v>92</v>
      </c>
      <c r="J18" s="56">
        <v>37392</v>
      </c>
      <c r="K18" s="57">
        <v>13</v>
      </c>
      <c r="L18" s="57">
        <v>40</v>
      </c>
      <c r="M18" s="57" t="s">
        <v>44</v>
      </c>
      <c r="N18" s="52" t="s">
        <v>93</v>
      </c>
      <c r="O18" s="57">
        <v>1</v>
      </c>
      <c r="P18" s="52" t="s">
        <v>46</v>
      </c>
      <c r="Q18" s="49">
        <v>11818.58</v>
      </c>
      <c r="R18" s="49">
        <f>+$B$90*3</f>
        <v>189.87</v>
      </c>
      <c r="S18" s="49">
        <f t="shared" si="4"/>
        <v>2068.2515000000003</v>
      </c>
      <c r="T18" s="49">
        <f t="shared" si="0"/>
        <v>20682.514999999999</v>
      </c>
      <c r="U18" s="49">
        <f t="shared" si="1"/>
        <v>6204.7545</v>
      </c>
      <c r="V18" s="50">
        <f t="shared" si="5"/>
        <v>1302.9984449999999</v>
      </c>
      <c r="W18" s="50">
        <f t="shared" si="2"/>
        <v>372.28526999999997</v>
      </c>
      <c r="X18" s="50">
        <f>(Q18+(AB18/12))*6%-AE94</f>
        <v>739.65796993650463</v>
      </c>
      <c r="Y18" s="50">
        <f t="shared" si="3"/>
        <v>248.19018</v>
      </c>
      <c r="Z18" s="50">
        <v>700</v>
      </c>
      <c r="AA18" s="50">
        <v>400</v>
      </c>
      <c r="AB18" s="50">
        <f>+Q18*0.05*12</f>
        <v>7091.1479999999992</v>
      </c>
      <c r="AC18" s="50">
        <f t="shared" si="6"/>
        <v>225305.65137923809</v>
      </c>
      <c r="AD18" s="34"/>
      <c r="AE18" s="58"/>
    </row>
    <row r="19" spans="1:47" s="51" customFormat="1" ht="23.1" customHeight="1" x14ac:dyDescent="0.2">
      <c r="A19" s="45">
        <f t="shared" si="7"/>
        <v>14</v>
      </c>
      <c r="B19" s="45">
        <v>9</v>
      </c>
      <c r="C19" s="45">
        <v>21</v>
      </c>
      <c r="D19" s="45">
        <v>20</v>
      </c>
      <c r="E19" s="45">
        <v>1</v>
      </c>
      <c r="F19" s="45">
        <v>1</v>
      </c>
      <c r="G19" s="45" t="s">
        <v>94</v>
      </c>
      <c r="H19" s="52" t="s">
        <v>95</v>
      </c>
      <c r="I19" s="52" t="s">
        <v>96</v>
      </c>
      <c r="J19" s="56">
        <v>37561</v>
      </c>
      <c r="K19" s="57">
        <v>1</v>
      </c>
      <c r="L19" s="57">
        <v>40</v>
      </c>
      <c r="M19" s="57" t="s">
        <v>44</v>
      </c>
      <c r="N19" s="52" t="s">
        <v>80</v>
      </c>
      <c r="O19" s="48">
        <v>1</v>
      </c>
      <c r="P19" s="52" t="s">
        <v>46</v>
      </c>
      <c r="Q19" s="49">
        <v>6401.46</v>
      </c>
      <c r="R19" s="49">
        <f>+$B$90*3</f>
        <v>189.87</v>
      </c>
      <c r="S19" s="49">
        <f t="shared" si="4"/>
        <v>1130.9246000000001</v>
      </c>
      <c r="T19" s="49">
        <f t="shared" si="0"/>
        <v>11309.246000000001</v>
      </c>
      <c r="U19" s="49">
        <f t="shared" si="1"/>
        <v>3392.7737999999999</v>
      </c>
      <c r="V19" s="50">
        <f t="shared" si="5"/>
        <v>712.48249799999996</v>
      </c>
      <c r="W19" s="50">
        <f t="shared" si="2"/>
        <v>203.566428</v>
      </c>
      <c r="X19" s="50">
        <f>(Q19+(AB19/12))*9%-AE94</f>
        <v>605.78671393650461</v>
      </c>
      <c r="Y19" s="50">
        <f t="shared" si="3"/>
        <v>135.71095199999999</v>
      </c>
      <c r="Z19" s="50">
        <v>700</v>
      </c>
      <c r="AA19" s="50">
        <v>400</v>
      </c>
      <c r="AB19" s="50">
        <f>+Q19*0.06*12</f>
        <v>4609.0511999999999</v>
      </c>
      <c r="AC19" s="50">
        <f t="shared" si="6"/>
        <v>132628.51470323806</v>
      </c>
      <c r="AD19" s="34"/>
      <c r="AE19" s="58"/>
    </row>
    <row r="20" spans="1:47" s="55" customFormat="1" ht="23.1" customHeight="1" x14ac:dyDescent="0.2">
      <c r="A20" s="45">
        <f t="shared" si="7"/>
        <v>15</v>
      </c>
      <c r="B20" s="45">
        <v>9</v>
      </c>
      <c r="C20" s="45">
        <v>21</v>
      </c>
      <c r="D20" s="45">
        <v>20</v>
      </c>
      <c r="E20" s="45">
        <v>1</v>
      </c>
      <c r="F20" s="45">
        <v>1</v>
      </c>
      <c r="G20" s="61" t="s">
        <v>97</v>
      </c>
      <c r="H20" s="62" t="s">
        <v>98</v>
      </c>
      <c r="I20" s="62" t="s">
        <v>99</v>
      </c>
      <c r="J20" s="63">
        <v>40452</v>
      </c>
      <c r="K20" s="64">
        <v>2</v>
      </c>
      <c r="L20" s="64">
        <v>40</v>
      </c>
      <c r="M20" s="64" t="s">
        <v>44</v>
      </c>
      <c r="N20" s="62" t="s">
        <v>72</v>
      </c>
      <c r="O20" s="64">
        <v>1</v>
      </c>
      <c r="P20" s="65" t="s">
        <v>46</v>
      </c>
      <c r="Q20" s="49">
        <v>6664.94</v>
      </c>
      <c r="R20" s="49"/>
      <c r="S20" s="49">
        <f t="shared" si="4"/>
        <v>1177.4727333333333</v>
      </c>
      <c r="T20" s="49">
        <f t="shared" si="0"/>
        <v>11774.727333333332</v>
      </c>
      <c r="U20" s="49">
        <f t="shared" si="1"/>
        <v>3532.4181999999996</v>
      </c>
      <c r="V20" s="50">
        <f t="shared" si="5"/>
        <v>741.80782199999987</v>
      </c>
      <c r="W20" s="50">
        <f t="shared" si="2"/>
        <v>211.94509199999996</v>
      </c>
      <c r="X20" s="50">
        <f>(Q20+(AB20/12))*9%-AE94</f>
        <v>630.9227059365046</v>
      </c>
      <c r="Y20" s="50">
        <f t="shared" si="3"/>
        <v>141.296728</v>
      </c>
      <c r="Z20" s="50">
        <v>700</v>
      </c>
      <c r="AA20" s="50">
        <v>400</v>
      </c>
      <c r="AB20" s="50">
        <f>+Q20*0.06*12</f>
        <v>4798.7567999999992</v>
      </c>
      <c r="AC20" s="50">
        <f t="shared" si="6"/>
        <v>135174.3232419047</v>
      </c>
      <c r="AD20" s="34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43"/>
    </row>
    <row r="21" spans="1:47" s="51" customFormat="1" ht="23.1" customHeight="1" x14ac:dyDescent="0.2">
      <c r="A21" s="45">
        <f t="shared" si="7"/>
        <v>16</v>
      </c>
      <c r="B21" s="66">
        <v>9</v>
      </c>
      <c r="C21" s="66">
        <v>21</v>
      </c>
      <c r="D21" s="66">
        <v>20</v>
      </c>
      <c r="E21" s="66">
        <v>1</v>
      </c>
      <c r="F21" s="66">
        <v>1</v>
      </c>
      <c r="G21" s="61" t="s">
        <v>100</v>
      </c>
      <c r="H21" s="65" t="s">
        <v>101</v>
      </c>
      <c r="I21" s="65" t="s">
        <v>102</v>
      </c>
      <c r="J21" s="67">
        <v>38817</v>
      </c>
      <c r="K21" s="68">
        <v>3</v>
      </c>
      <c r="L21" s="68">
        <v>40</v>
      </c>
      <c r="M21" s="68" t="s">
        <v>44</v>
      </c>
      <c r="N21" s="65" t="s">
        <v>103</v>
      </c>
      <c r="O21" s="68">
        <v>1</v>
      </c>
      <c r="P21" s="65" t="s">
        <v>46</v>
      </c>
      <c r="Q21" s="49">
        <v>7169</v>
      </c>
      <c r="R21" s="49">
        <f>+$B$90*2</f>
        <v>126.58</v>
      </c>
      <c r="S21" s="49">
        <f t="shared" si="4"/>
        <v>1266.5233333333335</v>
      </c>
      <c r="T21" s="69">
        <f t="shared" si="0"/>
        <v>12665.233333333335</v>
      </c>
      <c r="U21" s="49">
        <f t="shared" si="1"/>
        <v>3799.57</v>
      </c>
      <c r="V21" s="50">
        <f t="shared" si="5"/>
        <v>797.90970000000004</v>
      </c>
      <c r="W21" s="50">
        <f t="shared" si="2"/>
        <v>227.9742</v>
      </c>
      <c r="X21" s="70">
        <f>(Q21+(AB21/12))*8%-AE94</f>
        <v>603.01862993650468</v>
      </c>
      <c r="Y21" s="50">
        <f t="shared" si="3"/>
        <v>151.9828</v>
      </c>
      <c r="Z21" s="50">
        <v>700</v>
      </c>
      <c r="AA21" s="50">
        <v>400</v>
      </c>
      <c r="AB21" s="50">
        <f>+Q21*0.06*12</f>
        <v>5161.68</v>
      </c>
      <c r="AC21" s="50">
        <f t="shared" si="6"/>
        <v>145010.59062590473</v>
      </c>
      <c r="AD21" s="34"/>
      <c r="AE21" s="58"/>
    </row>
    <row r="22" spans="1:47" s="51" customFormat="1" ht="23.1" customHeight="1" x14ac:dyDescent="0.2">
      <c r="A22" s="45">
        <f t="shared" si="7"/>
        <v>17</v>
      </c>
      <c r="B22" s="45">
        <v>9</v>
      </c>
      <c r="C22" s="45">
        <v>21</v>
      </c>
      <c r="D22" s="45">
        <v>20</v>
      </c>
      <c r="E22" s="45">
        <v>1</v>
      </c>
      <c r="F22" s="45">
        <v>1</v>
      </c>
      <c r="G22" s="61" t="s">
        <v>104</v>
      </c>
      <c r="H22" s="65" t="s">
        <v>105</v>
      </c>
      <c r="I22" s="65"/>
      <c r="J22" s="67"/>
      <c r="K22" s="68">
        <v>8</v>
      </c>
      <c r="L22" s="68">
        <v>40</v>
      </c>
      <c r="M22" s="68" t="s">
        <v>44</v>
      </c>
      <c r="N22" s="65" t="s">
        <v>106</v>
      </c>
      <c r="O22" s="68">
        <v>1</v>
      </c>
      <c r="P22" s="65" t="s">
        <v>46</v>
      </c>
      <c r="Q22" s="71">
        <v>9556</v>
      </c>
      <c r="R22" s="49">
        <f>+$B$90*3</f>
        <v>189.87</v>
      </c>
      <c r="S22" s="49">
        <f t="shared" si="4"/>
        <v>1688.2266666666667</v>
      </c>
      <c r="T22" s="49">
        <f t="shared" si="0"/>
        <v>16882.266666666666</v>
      </c>
      <c r="U22" s="49">
        <f t="shared" si="1"/>
        <v>5064.68</v>
      </c>
      <c r="V22" s="50">
        <f t="shared" si="5"/>
        <v>1063.5828000000001</v>
      </c>
      <c r="W22" s="50">
        <f t="shared" si="2"/>
        <v>303.88080000000002</v>
      </c>
      <c r="X22" s="50">
        <f>(Q22+(AB22/12))*6%-AE94</f>
        <v>602.84902993650473</v>
      </c>
      <c r="Y22" s="50">
        <f t="shared" si="3"/>
        <v>202.58720000000002</v>
      </c>
      <c r="Z22" s="50">
        <v>700</v>
      </c>
      <c r="AA22" s="50">
        <v>400</v>
      </c>
      <c r="AB22" s="50">
        <f>+Q22*0.06*12</f>
        <v>6880.32</v>
      </c>
      <c r="AC22" s="50">
        <f t="shared" si="6"/>
        <v>186740.73129257138</v>
      </c>
      <c r="AD22" s="34"/>
      <c r="AE22" s="58"/>
    </row>
    <row r="23" spans="1:47" x14ac:dyDescent="0.2">
      <c r="G23" s="72"/>
      <c r="H23" s="16"/>
      <c r="I23" s="16"/>
      <c r="J23" s="73"/>
      <c r="K23" s="74"/>
      <c r="L23" s="74"/>
      <c r="M23" s="74"/>
      <c r="N23" s="16"/>
      <c r="O23" s="16"/>
      <c r="P23" s="74"/>
    </row>
    <row r="24" spans="1:47" s="51" customFormat="1" ht="23.1" customHeight="1" x14ac:dyDescent="0.2">
      <c r="A24" s="75"/>
      <c r="B24" s="75"/>
      <c r="C24" s="75"/>
      <c r="D24" s="75"/>
      <c r="E24" s="75"/>
      <c r="F24" s="75"/>
      <c r="G24" s="76"/>
      <c r="H24" s="77"/>
      <c r="I24" s="77"/>
      <c r="J24" s="78" t="s">
        <v>107</v>
      </c>
      <c r="K24" s="79"/>
      <c r="L24" s="79"/>
      <c r="M24" s="79"/>
      <c r="N24" s="80"/>
      <c r="O24" s="81"/>
      <c r="P24" s="82" t="s">
        <v>108</v>
      </c>
      <c r="Q24" s="83">
        <f t="shared" ref="Q24:AC24" si="8">SUM(Q6:Q22)</f>
        <v>207110.93999999994</v>
      </c>
      <c r="R24" s="83">
        <f t="shared" si="8"/>
        <v>2278.4399999999996</v>
      </c>
      <c r="S24" s="83">
        <f t="shared" si="8"/>
        <v>35939.798600000002</v>
      </c>
      <c r="T24" s="83">
        <f t="shared" si="8"/>
        <v>359397.98600000003</v>
      </c>
      <c r="U24" s="83">
        <f t="shared" si="8"/>
        <v>107819.3958</v>
      </c>
      <c r="V24" s="83">
        <f t="shared" si="8"/>
        <v>22642.073118</v>
      </c>
      <c r="W24" s="83">
        <f t="shared" si="8"/>
        <v>6469.1637479999999</v>
      </c>
      <c r="X24" s="83">
        <f t="shared" si="8"/>
        <v>12258.215922920577</v>
      </c>
      <c r="Y24" s="83">
        <f t="shared" si="8"/>
        <v>4312.7758319999994</v>
      </c>
      <c r="Z24" s="83">
        <f t="shared" si="8"/>
        <v>11900</v>
      </c>
      <c r="AA24" s="83">
        <f t="shared" si="8"/>
        <v>6800</v>
      </c>
      <c r="AB24" s="83">
        <f t="shared" si="8"/>
        <v>102334.21920000002</v>
      </c>
      <c r="AC24" s="83">
        <f t="shared" si="8"/>
        <v>3890750.703051046</v>
      </c>
      <c r="AD24" s="34"/>
      <c r="AE24" s="58"/>
    </row>
    <row r="25" spans="1:47" s="51" customFormat="1" ht="54" customHeight="1" thickBot="1" x14ac:dyDescent="0.25">
      <c r="A25" s="75"/>
      <c r="B25" s="75"/>
      <c r="C25" s="75"/>
      <c r="D25" s="75"/>
      <c r="E25" s="75"/>
      <c r="F25" s="75"/>
      <c r="G25" s="76"/>
      <c r="H25" s="77"/>
      <c r="I25" s="77"/>
      <c r="J25" s="84"/>
      <c r="K25" s="81"/>
      <c r="L25" s="81"/>
      <c r="M25" s="81"/>
      <c r="N25" s="77"/>
      <c r="O25" s="81"/>
      <c r="P25" s="77"/>
      <c r="Q25" s="85">
        <f>Q24*12</f>
        <v>2485331.2799999993</v>
      </c>
      <c r="R25" s="86">
        <f>R24*12</f>
        <v>27341.279999999995</v>
      </c>
      <c r="S25" s="85">
        <f>S24</f>
        <v>35939.798600000002</v>
      </c>
      <c r="T25" s="85">
        <f>T24</f>
        <v>359397.98600000003</v>
      </c>
      <c r="U25" s="85">
        <f>U24</f>
        <v>107819.3958</v>
      </c>
      <c r="V25" s="53">
        <f t="shared" ref="V25:AA25" si="9">V24*12</f>
        <v>271704.877416</v>
      </c>
      <c r="W25" s="53">
        <f t="shared" si="9"/>
        <v>77629.964976000003</v>
      </c>
      <c r="X25" s="53">
        <f t="shared" si="9"/>
        <v>147098.59107504692</v>
      </c>
      <c r="Y25" s="53">
        <f t="shared" si="9"/>
        <v>51753.309983999992</v>
      </c>
      <c r="Z25" s="53">
        <f t="shared" si="9"/>
        <v>142800</v>
      </c>
      <c r="AA25" s="53">
        <f t="shared" si="9"/>
        <v>81600</v>
      </c>
      <c r="AB25" s="53">
        <f>AB24</f>
        <v>102334.21920000002</v>
      </c>
      <c r="AC25" s="53">
        <f>AC24</f>
        <v>3890750.703051046</v>
      </c>
      <c r="AD25" s="34"/>
      <c r="AE25" s="58"/>
    </row>
    <row r="26" spans="1:47" s="51" customFormat="1" ht="23.1" customHeight="1" x14ac:dyDescent="0.2">
      <c r="A26" s="87">
        <f>+A22+1</f>
        <v>18</v>
      </c>
      <c r="B26" s="87">
        <v>9</v>
      </c>
      <c r="C26" s="87">
        <v>21</v>
      </c>
      <c r="D26" s="87">
        <v>20</v>
      </c>
      <c r="E26" s="87">
        <v>1</v>
      </c>
      <c r="F26" s="87">
        <v>1</v>
      </c>
      <c r="G26" s="88" t="s">
        <v>109</v>
      </c>
      <c r="H26" s="89" t="s">
        <v>110</v>
      </c>
      <c r="I26" s="89" t="s">
        <v>111</v>
      </c>
      <c r="J26" s="90">
        <v>40042</v>
      </c>
      <c r="K26" s="91">
        <v>14</v>
      </c>
      <c r="L26" s="91">
        <v>40</v>
      </c>
      <c r="M26" s="91" t="s">
        <v>44</v>
      </c>
      <c r="N26" s="89" t="s">
        <v>112</v>
      </c>
      <c r="O26" s="91">
        <v>1</v>
      </c>
      <c r="P26" s="89" t="s">
        <v>113</v>
      </c>
      <c r="Q26" s="92">
        <v>13122.24</v>
      </c>
      <c r="R26" s="93"/>
      <c r="S26" s="94">
        <f t="shared" ref="S26:S51" si="10">+((Q26+AB26/12)/30)*20*25%</f>
        <v>2274.5216</v>
      </c>
      <c r="T26" s="94">
        <f t="shared" ref="T26:T51" si="11">(Q26+(AB26/12))/30*50</f>
        <v>22745.216</v>
      </c>
      <c r="U26" s="94">
        <f t="shared" ref="U26:U51" si="12">(Q26+(AB26/12))/30*15</f>
        <v>6823.5648000000001</v>
      </c>
      <c r="V26" s="94">
        <f t="shared" ref="V26:V53" si="13">(Q26+(AB26/12))*10.5%</f>
        <v>1432.9486079999999</v>
      </c>
      <c r="W26" s="94">
        <f t="shared" ref="W26:W53" si="14">(Q26+(AB26/12))*3%</f>
        <v>409.41388799999999</v>
      </c>
      <c r="X26" s="94">
        <f>(Q26+(AB26/12))*6%-AE94</f>
        <v>813.91520593650466</v>
      </c>
      <c r="Y26" s="94">
        <f t="shared" ref="Y26:Y51" si="15">(Q26+(AB26/12))*2%</f>
        <v>272.94259199999999</v>
      </c>
      <c r="Z26" s="94">
        <v>700</v>
      </c>
      <c r="AA26" s="94">
        <v>400</v>
      </c>
      <c r="AB26" s="95">
        <f>+Q26*0.04*12</f>
        <v>6298.6751999999997</v>
      </c>
      <c r="AC26" s="96">
        <f t="shared" ref="AC26:AC53" si="16">+(Q26+R26+V26+W26+X26+Y26+Z26+AA26)*12+S26+T26+U26+AB26</f>
        <v>243959.50112723804</v>
      </c>
      <c r="AD26" s="34"/>
      <c r="AE26" s="58"/>
    </row>
    <row r="27" spans="1:47" ht="23.1" customHeight="1" x14ac:dyDescent="0.2">
      <c r="A27" s="45">
        <f>+A26+1</f>
        <v>19</v>
      </c>
      <c r="B27" s="45">
        <v>9</v>
      </c>
      <c r="C27" s="45">
        <v>21</v>
      </c>
      <c r="D27" s="45">
        <v>20</v>
      </c>
      <c r="E27" s="45">
        <v>1</v>
      </c>
      <c r="F27" s="45">
        <v>1</v>
      </c>
      <c r="G27" s="61" t="s">
        <v>114</v>
      </c>
      <c r="H27" s="97" t="s">
        <v>115</v>
      </c>
      <c r="I27" s="97" t="s">
        <v>116</v>
      </c>
      <c r="J27" s="98">
        <v>38764</v>
      </c>
      <c r="K27" s="99">
        <v>14</v>
      </c>
      <c r="L27" s="99">
        <v>40</v>
      </c>
      <c r="M27" s="99" t="s">
        <v>44</v>
      </c>
      <c r="N27" s="97" t="s">
        <v>112</v>
      </c>
      <c r="O27" s="99">
        <v>1</v>
      </c>
      <c r="P27" s="97" t="s">
        <v>113</v>
      </c>
      <c r="Q27" s="71">
        <v>13122.24</v>
      </c>
      <c r="R27" s="49">
        <f>+$B$90*2</f>
        <v>126.58</v>
      </c>
      <c r="S27" s="49">
        <f t="shared" si="10"/>
        <v>2274.5216</v>
      </c>
      <c r="T27" s="49">
        <f t="shared" si="11"/>
        <v>22745.216</v>
      </c>
      <c r="U27" s="49">
        <f t="shared" si="12"/>
        <v>6823.5648000000001</v>
      </c>
      <c r="V27" s="50">
        <f t="shared" si="13"/>
        <v>1432.9486079999999</v>
      </c>
      <c r="W27" s="50">
        <f t="shared" si="14"/>
        <v>409.41388799999999</v>
      </c>
      <c r="X27" s="50">
        <f>(Q27+(AB27/12))*5.5%-AE94</f>
        <v>745.67955793650469</v>
      </c>
      <c r="Y27" s="50">
        <f t="shared" si="15"/>
        <v>272.94259199999999</v>
      </c>
      <c r="Z27" s="50">
        <v>700</v>
      </c>
      <c r="AA27" s="50">
        <v>400</v>
      </c>
      <c r="AB27" s="69">
        <f>+Q27*0.04*12</f>
        <v>6298.6751999999997</v>
      </c>
      <c r="AC27" s="100">
        <f t="shared" si="16"/>
        <v>244659.63335123804</v>
      </c>
      <c r="AE27" s="58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</row>
    <row r="28" spans="1:47" s="55" customFormat="1" ht="23.1" customHeight="1" x14ac:dyDescent="0.2">
      <c r="A28" s="45">
        <f t="shared" ref="A28:A54" si="17">+A27+1</f>
        <v>20</v>
      </c>
      <c r="B28" s="45">
        <v>9</v>
      </c>
      <c r="C28" s="45">
        <v>21</v>
      </c>
      <c r="D28" s="45">
        <v>20</v>
      </c>
      <c r="E28" s="45">
        <v>1</v>
      </c>
      <c r="F28" s="45">
        <v>1</v>
      </c>
      <c r="G28" s="61" t="s">
        <v>117</v>
      </c>
      <c r="H28" s="65" t="s">
        <v>118</v>
      </c>
      <c r="I28" s="65" t="s">
        <v>119</v>
      </c>
      <c r="J28" s="67">
        <v>37634</v>
      </c>
      <c r="K28" s="68">
        <v>13</v>
      </c>
      <c r="L28" s="68">
        <v>40</v>
      </c>
      <c r="M28" s="68" t="s">
        <v>44</v>
      </c>
      <c r="N28" s="65" t="s">
        <v>120</v>
      </c>
      <c r="O28" s="64">
        <v>1</v>
      </c>
      <c r="P28" s="65" t="s">
        <v>113</v>
      </c>
      <c r="Q28" s="71">
        <v>12142.48</v>
      </c>
      <c r="R28" s="49">
        <f>+$B$90*3</f>
        <v>189.87</v>
      </c>
      <c r="S28" s="49">
        <f t="shared" si="10"/>
        <v>2124.9339999999997</v>
      </c>
      <c r="T28" s="49">
        <f t="shared" si="11"/>
        <v>21249.339999999997</v>
      </c>
      <c r="U28" s="49">
        <f t="shared" si="12"/>
        <v>6374.8019999999997</v>
      </c>
      <c r="V28" s="50">
        <f t="shared" si="13"/>
        <v>1338.7084199999999</v>
      </c>
      <c r="W28" s="50">
        <f t="shared" si="14"/>
        <v>382.48811999999998</v>
      </c>
      <c r="X28" s="50">
        <f>(Q28+(AB28/12))*6%-AE94</f>
        <v>760.06366993650465</v>
      </c>
      <c r="Y28" s="50">
        <f t="shared" si="15"/>
        <v>254.99207999999999</v>
      </c>
      <c r="Z28" s="50">
        <v>700</v>
      </c>
      <c r="AA28" s="50">
        <v>400</v>
      </c>
      <c r="AB28" s="69">
        <f>+Q28*0.05*12</f>
        <v>7285.4880000000003</v>
      </c>
      <c r="AC28" s="50">
        <f t="shared" si="16"/>
        <v>231057.79147923808</v>
      </c>
      <c r="AD28" s="34"/>
      <c r="AE28" s="101"/>
    </row>
    <row r="29" spans="1:47" s="51" customFormat="1" ht="23.1" customHeight="1" x14ac:dyDescent="0.2">
      <c r="A29" s="45">
        <f t="shared" si="17"/>
        <v>21</v>
      </c>
      <c r="B29" s="45">
        <v>9</v>
      </c>
      <c r="C29" s="45">
        <v>21</v>
      </c>
      <c r="D29" s="45">
        <v>20</v>
      </c>
      <c r="E29" s="45">
        <v>1</v>
      </c>
      <c r="F29" s="45">
        <v>1</v>
      </c>
      <c r="G29" s="61" t="s">
        <v>121</v>
      </c>
      <c r="H29" s="65" t="s">
        <v>122</v>
      </c>
      <c r="I29" s="65" t="s">
        <v>123</v>
      </c>
      <c r="J29" s="67">
        <v>38596</v>
      </c>
      <c r="K29" s="68">
        <v>8</v>
      </c>
      <c r="L29" s="68">
        <v>40</v>
      </c>
      <c r="M29" s="68" t="s">
        <v>44</v>
      </c>
      <c r="N29" s="65" t="s">
        <v>124</v>
      </c>
      <c r="O29" s="64">
        <v>1</v>
      </c>
      <c r="P29" s="65" t="s">
        <v>113</v>
      </c>
      <c r="Q29" s="71">
        <v>9556</v>
      </c>
      <c r="R29" s="49">
        <f>+$B$90*2</f>
        <v>126.58</v>
      </c>
      <c r="S29" s="49">
        <f t="shared" si="10"/>
        <v>1688.2266666666667</v>
      </c>
      <c r="T29" s="49">
        <f t="shared" si="11"/>
        <v>16882.266666666666</v>
      </c>
      <c r="U29" s="49">
        <f t="shared" si="12"/>
        <v>5064.68</v>
      </c>
      <c r="V29" s="50">
        <f t="shared" si="13"/>
        <v>1063.5828000000001</v>
      </c>
      <c r="W29" s="50">
        <f t="shared" si="14"/>
        <v>303.88080000000002</v>
      </c>
      <c r="X29" s="50">
        <f>(Q29+(AB29/12))*7%-AE94</f>
        <v>704.14262993650482</v>
      </c>
      <c r="Y29" s="50">
        <f t="shared" si="15"/>
        <v>202.58720000000002</v>
      </c>
      <c r="Z29" s="50">
        <v>700</v>
      </c>
      <c r="AA29" s="50">
        <v>400</v>
      </c>
      <c r="AB29" s="69">
        <f>+Q29*0.06*12</f>
        <v>6880.32</v>
      </c>
      <c r="AC29" s="50">
        <f t="shared" si="16"/>
        <v>187196.77449257139</v>
      </c>
      <c r="AD29" s="34"/>
      <c r="AE29" s="58"/>
    </row>
    <row r="30" spans="1:47" s="55" customFormat="1" ht="23.1" customHeight="1" x14ac:dyDescent="0.2">
      <c r="A30" s="45">
        <f t="shared" si="17"/>
        <v>22</v>
      </c>
      <c r="B30" s="45">
        <v>9</v>
      </c>
      <c r="C30" s="45">
        <v>21</v>
      </c>
      <c r="D30" s="45">
        <v>20</v>
      </c>
      <c r="E30" s="45">
        <v>1</v>
      </c>
      <c r="F30" s="45">
        <v>1</v>
      </c>
      <c r="G30" s="61" t="s">
        <v>125</v>
      </c>
      <c r="H30" s="65" t="s">
        <v>126</v>
      </c>
      <c r="I30" s="65" t="s">
        <v>127</v>
      </c>
      <c r="J30" s="67">
        <v>37500</v>
      </c>
      <c r="K30" s="68">
        <v>14</v>
      </c>
      <c r="L30" s="68">
        <v>40</v>
      </c>
      <c r="M30" s="68" t="s">
        <v>44</v>
      </c>
      <c r="N30" s="65" t="s">
        <v>112</v>
      </c>
      <c r="O30" s="64">
        <v>1</v>
      </c>
      <c r="P30" s="65" t="s">
        <v>113</v>
      </c>
      <c r="Q30" s="71">
        <v>13122.24</v>
      </c>
      <c r="R30" s="49">
        <f>+$B$90*3</f>
        <v>189.87</v>
      </c>
      <c r="S30" s="49">
        <f t="shared" si="10"/>
        <v>2230.7807999999995</v>
      </c>
      <c r="T30" s="49">
        <f t="shared" si="11"/>
        <v>22307.807999999997</v>
      </c>
      <c r="U30" s="49">
        <f t="shared" si="12"/>
        <v>6692.3423999999995</v>
      </c>
      <c r="V30" s="50">
        <f t="shared" si="13"/>
        <v>1405.3919039999998</v>
      </c>
      <c r="W30" s="50">
        <f t="shared" si="14"/>
        <v>401.54054399999995</v>
      </c>
      <c r="X30" s="50">
        <f>(Q30+(AB30/12))*4%-AE94</f>
        <v>530.47482193650467</v>
      </c>
      <c r="Y30" s="50">
        <f t="shared" si="15"/>
        <v>267.69369599999999</v>
      </c>
      <c r="Z30" s="50">
        <v>700</v>
      </c>
      <c r="AA30" s="50">
        <v>400</v>
      </c>
      <c r="AB30" s="69">
        <f>+Q30*0.02*12</f>
        <v>3149.3375999999998</v>
      </c>
      <c r="AC30" s="50">
        <f t="shared" si="16"/>
        <v>238586.80039123804</v>
      </c>
      <c r="AD30" s="102"/>
      <c r="AE30" s="101"/>
    </row>
    <row r="31" spans="1:47" ht="23.1" customHeight="1" x14ac:dyDescent="0.2">
      <c r="A31" s="45">
        <f t="shared" si="17"/>
        <v>23</v>
      </c>
      <c r="B31" s="45">
        <v>9</v>
      </c>
      <c r="C31" s="45">
        <v>21</v>
      </c>
      <c r="D31" s="45">
        <v>20</v>
      </c>
      <c r="E31" s="45">
        <v>1</v>
      </c>
      <c r="F31" s="45">
        <v>1</v>
      </c>
      <c r="G31" s="61" t="s">
        <v>128</v>
      </c>
      <c r="H31" s="65" t="s">
        <v>129</v>
      </c>
      <c r="I31" s="65" t="s">
        <v>130</v>
      </c>
      <c r="J31" s="103">
        <v>38930</v>
      </c>
      <c r="K31" s="68">
        <v>14</v>
      </c>
      <c r="L31" s="68">
        <v>40</v>
      </c>
      <c r="M31" s="68" t="s">
        <v>44</v>
      </c>
      <c r="N31" s="65" t="s">
        <v>112</v>
      </c>
      <c r="O31" s="64">
        <v>1</v>
      </c>
      <c r="P31" s="65" t="s">
        <v>113</v>
      </c>
      <c r="Q31" s="71">
        <v>13122.24</v>
      </c>
      <c r="R31" s="49">
        <f>+$B$90*2</f>
        <v>126.58</v>
      </c>
      <c r="S31" s="69">
        <f t="shared" si="10"/>
        <v>2296.3919999999998</v>
      </c>
      <c r="T31" s="69">
        <f t="shared" si="11"/>
        <v>22963.919999999998</v>
      </c>
      <c r="U31" s="49">
        <f t="shared" si="12"/>
        <v>6889.1759999999995</v>
      </c>
      <c r="V31" s="50">
        <f t="shared" si="13"/>
        <v>1446.7269599999997</v>
      </c>
      <c r="W31" s="50">
        <f t="shared" si="14"/>
        <v>413.35055999999997</v>
      </c>
      <c r="X31" s="50">
        <f>(Q31+(AB31/12))*5.5%-AE94</f>
        <v>752.89678993650466</v>
      </c>
      <c r="Y31" s="50">
        <f t="shared" si="15"/>
        <v>275.56703999999996</v>
      </c>
      <c r="Z31" s="50">
        <v>700</v>
      </c>
      <c r="AA31" s="50">
        <v>400</v>
      </c>
      <c r="AB31" s="69">
        <f>+Q31*0.05*12</f>
        <v>7873.344000000001</v>
      </c>
      <c r="AC31" s="50">
        <f t="shared" si="16"/>
        <v>246871.16819923808</v>
      </c>
      <c r="AE31" s="58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</row>
    <row r="32" spans="1:47" s="51" customFormat="1" ht="23.1" customHeight="1" x14ac:dyDescent="0.2">
      <c r="A32" s="45">
        <f t="shared" si="17"/>
        <v>24</v>
      </c>
      <c r="B32" s="45">
        <v>9</v>
      </c>
      <c r="C32" s="45">
        <v>21</v>
      </c>
      <c r="D32" s="45">
        <v>20</v>
      </c>
      <c r="E32" s="45">
        <v>1</v>
      </c>
      <c r="F32" s="45">
        <v>1</v>
      </c>
      <c r="G32" s="61" t="s">
        <v>131</v>
      </c>
      <c r="H32" s="65" t="s">
        <v>132</v>
      </c>
      <c r="I32" s="65" t="s">
        <v>133</v>
      </c>
      <c r="J32" s="103">
        <v>37834</v>
      </c>
      <c r="K32" s="68">
        <v>14</v>
      </c>
      <c r="L32" s="68">
        <v>40</v>
      </c>
      <c r="M32" s="68" t="s">
        <v>44</v>
      </c>
      <c r="N32" s="65" t="s">
        <v>112</v>
      </c>
      <c r="O32" s="68">
        <v>1</v>
      </c>
      <c r="P32" s="65" t="s">
        <v>113</v>
      </c>
      <c r="Q32" s="71">
        <v>13122.24</v>
      </c>
      <c r="R32" s="60"/>
      <c r="S32" s="49">
        <f t="shared" si="10"/>
        <v>2274.5216</v>
      </c>
      <c r="T32" s="49">
        <f t="shared" si="11"/>
        <v>22745.216</v>
      </c>
      <c r="U32" s="49">
        <f t="shared" si="12"/>
        <v>6823.5648000000001</v>
      </c>
      <c r="V32" s="50">
        <f t="shared" si="13"/>
        <v>1432.9486079999999</v>
      </c>
      <c r="W32" s="50">
        <f t="shared" si="14"/>
        <v>409.41388799999999</v>
      </c>
      <c r="X32" s="50">
        <f>(Q32+(AB32/12))*5.5%-AE94</f>
        <v>745.67955793650469</v>
      </c>
      <c r="Y32" s="50">
        <f t="shared" si="15"/>
        <v>272.94259199999999</v>
      </c>
      <c r="Z32" s="50">
        <v>700</v>
      </c>
      <c r="AA32" s="50">
        <v>400</v>
      </c>
      <c r="AB32" s="69">
        <f>+Q32*0.04*12</f>
        <v>6298.6751999999997</v>
      </c>
      <c r="AC32" s="50">
        <f t="shared" si="16"/>
        <v>243140.67335123807</v>
      </c>
      <c r="AD32" s="34"/>
      <c r="AE32" s="58"/>
    </row>
    <row r="33" spans="1:47" s="51" customFormat="1" ht="23.1" customHeight="1" x14ac:dyDescent="0.2">
      <c r="A33" s="45">
        <f t="shared" si="17"/>
        <v>25</v>
      </c>
      <c r="B33" s="45">
        <v>9</v>
      </c>
      <c r="C33" s="45">
        <v>21</v>
      </c>
      <c r="D33" s="45">
        <v>20</v>
      </c>
      <c r="E33" s="45">
        <v>1</v>
      </c>
      <c r="F33" s="45">
        <v>1</v>
      </c>
      <c r="G33" s="61" t="s">
        <v>134</v>
      </c>
      <c r="H33" s="65" t="s">
        <v>135</v>
      </c>
      <c r="I33" s="65" t="s">
        <v>136</v>
      </c>
      <c r="J33" s="103">
        <v>39518</v>
      </c>
      <c r="K33" s="68">
        <v>13</v>
      </c>
      <c r="L33" s="68">
        <v>40</v>
      </c>
      <c r="M33" s="68" t="s">
        <v>44</v>
      </c>
      <c r="N33" s="65" t="s">
        <v>137</v>
      </c>
      <c r="O33" s="68">
        <v>1</v>
      </c>
      <c r="P33" s="65" t="s">
        <v>113</v>
      </c>
      <c r="Q33" s="49">
        <v>11904.58</v>
      </c>
      <c r="R33" s="49">
        <f>+$B$90*2</f>
        <v>126.58</v>
      </c>
      <c r="S33" s="49">
        <f t="shared" si="10"/>
        <v>2083.3014999999996</v>
      </c>
      <c r="T33" s="49">
        <f t="shared" si="11"/>
        <v>20833.014999999996</v>
      </c>
      <c r="U33" s="49">
        <f t="shared" si="12"/>
        <v>6249.9044999999996</v>
      </c>
      <c r="V33" s="50">
        <f t="shared" si="13"/>
        <v>1312.4799449999998</v>
      </c>
      <c r="W33" s="50">
        <f t="shared" si="14"/>
        <v>374.99426999999997</v>
      </c>
      <c r="X33" s="50">
        <f>(Q33+(AB33/12))*6%-AE94</f>
        <v>745.07596993650463</v>
      </c>
      <c r="Y33" s="50">
        <f t="shared" si="15"/>
        <v>249.99617999999998</v>
      </c>
      <c r="Z33" s="50">
        <v>700</v>
      </c>
      <c r="AA33" s="50">
        <v>400</v>
      </c>
      <c r="AB33" s="69">
        <f>+Q33*0.05*12</f>
        <v>7142.7480000000005</v>
      </c>
      <c r="AC33" s="50">
        <f t="shared" si="16"/>
        <v>226073.44537923802</v>
      </c>
      <c r="AD33" s="102"/>
      <c r="AE33" s="58"/>
    </row>
    <row r="34" spans="1:47" s="51" customFormat="1" ht="23.1" customHeight="1" x14ac:dyDescent="0.2">
      <c r="A34" s="45">
        <f t="shared" si="17"/>
        <v>26</v>
      </c>
      <c r="B34" s="45">
        <v>9</v>
      </c>
      <c r="C34" s="45">
        <v>21</v>
      </c>
      <c r="D34" s="45">
        <v>20</v>
      </c>
      <c r="E34" s="45">
        <v>1</v>
      </c>
      <c r="F34" s="45">
        <v>1</v>
      </c>
      <c r="G34" s="61" t="s">
        <v>138</v>
      </c>
      <c r="H34" s="65" t="s">
        <v>139</v>
      </c>
      <c r="I34" s="65" t="s">
        <v>140</v>
      </c>
      <c r="J34" s="103">
        <v>38718</v>
      </c>
      <c r="K34" s="68">
        <v>4</v>
      </c>
      <c r="L34" s="68">
        <v>20</v>
      </c>
      <c r="M34" s="68" t="s">
        <v>44</v>
      </c>
      <c r="N34" s="65" t="s">
        <v>141</v>
      </c>
      <c r="O34" s="64">
        <v>1</v>
      </c>
      <c r="P34" s="65" t="s">
        <v>113</v>
      </c>
      <c r="Q34" s="71">
        <v>3486.06</v>
      </c>
      <c r="R34" s="49">
        <f>+$B$90*2</f>
        <v>126.58</v>
      </c>
      <c r="S34" s="49">
        <f t="shared" si="10"/>
        <v>615.87059999999997</v>
      </c>
      <c r="T34" s="49">
        <f t="shared" si="11"/>
        <v>6158.7059999999992</v>
      </c>
      <c r="U34" s="49">
        <f t="shared" si="12"/>
        <v>1847.6117999999999</v>
      </c>
      <c r="V34" s="50">
        <f t="shared" si="13"/>
        <v>387.99847799999998</v>
      </c>
      <c r="W34" s="50">
        <f t="shared" si="14"/>
        <v>110.85670799999998</v>
      </c>
      <c r="X34" s="50">
        <f>(Q34+(AB34/12))*14%-AE94</f>
        <v>512.41873393650474</v>
      </c>
      <c r="Y34" s="50">
        <f t="shared" si="15"/>
        <v>73.904471999999998</v>
      </c>
      <c r="Z34" s="50">
        <v>700</v>
      </c>
      <c r="AA34" s="50">
        <v>400</v>
      </c>
      <c r="AB34" s="69">
        <f>+Q34*0.06*12</f>
        <v>2509.9632000000001</v>
      </c>
      <c r="AC34" s="50">
        <f t="shared" si="16"/>
        <v>80705.972303238057</v>
      </c>
      <c r="AD34" s="34"/>
      <c r="AE34" s="58"/>
    </row>
    <row r="35" spans="1:47" ht="23.1" customHeight="1" x14ac:dyDescent="0.2">
      <c r="A35" s="45">
        <f t="shared" si="17"/>
        <v>27</v>
      </c>
      <c r="B35" s="45">
        <v>9</v>
      </c>
      <c r="C35" s="45">
        <v>21</v>
      </c>
      <c r="D35" s="45">
        <v>20</v>
      </c>
      <c r="E35" s="45">
        <v>1</v>
      </c>
      <c r="F35" s="45">
        <v>1</v>
      </c>
      <c r="G35" s="61" t="s">
        <v>142</v>
      </c>
      <c r="H35" s="65" t="s">
        <v>143</v>
      </c>
      <c r="I35" s="65" t="s">
        <v>144</v>
      </c>
      <c r="J35" s="103">
        <v>37500</v>
      </c>
      <c r="K35" s="68">
        <v>14</v>
      </c>
      <c r="L35" s="68">
        <v>40</v>
      </c>
      <c r="M35" s="68" t="s">
        <v>44</v>
      </c>
      <c r="N35" s="65" t="s">
        <v>112</v>
      </c>
      <c r="O35" s="68">
        <v>1</v>
      </c>
      <c r="P35" s="65" t="s">
        <v>113</v>
      </c>
      <c r="Q35" s="71">
        <v>13122.24</v>
      </c>
      <c r="R35" s="49">
        <f>+$B$90*3</f>
        <v>189.87</v>
      </c>
      <c r="S35" s="49">
        <f t="shared" si="10"/>
        <v>2296.3919999999998</v>
      </c>
      <c r="T35" s="49">
        <f t="shared" si="11"/>
        <v>22963.919999999998</v>
      </c>
      <c r="U35" s="49">
        <f t="shared" si="12"/>
        <v>6889.1759999999995</v>
      </c>
      <c r="V35" s="50">
        <f t="shared" si="13"/>
        <v>1446.7269599999997</v>
      </c>
      <c r="W35" s="50">
        <f t="shared" si="14"/>
        <v>413.35055999999997</v>
      </c>
      <c r="X35" s="50">
        <f>(Q35+(AB35/12))*6%-AE94</f>
        <v>821.78854993650464</v>
      </c>
      <c r="Y35" s="50">
        <f t="shared" si="15"/>
        <v>275.56703999999996</v>
      </c>
      <c r="Z35" s="50">
        <v>700</v>
      </c>
      <c r="AA35" s="50">
        <v>400</v>
      </c>
      <c r="AB35" s="69">
        <f>+Q35*0.05*12</f>
        <v>7873.344000000001</v>
      </c>
      <c r="AC35" s="50">
        <f t="shared" si="16"/>
        <v>248457.34931923804</v>
      </c>
      <c r="AE35" s="58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</row>
    <row r="36" spans="1:47" s="51" customFormat="1" ht="23.1" customHeight="1" x14ac:dyDescent="0.2">
      <c r="A36" s="45">
        <f t="shared" si="17"/>
        <v>28</v>
      </c>
      <c r="B36" s="45">
        <v>9</v>
      </c>
      <c r="C36" s="45">
        <v>21</v>
      </c>
      <c r="D36" s="45">
        <v>20</v>
      </c>
      <c r="E36" s="45">
        <v>1</v>
      </c>
      <c r="F36" s="45">
        <v>1</v>
      </c>
      <c r="G36" s="61" t="s">
        <v>145</v>
      </c>
      <c r="H36" s="65" t="s">
        <v>146</v>
      </c>
      <c r="I36" s="65" t="s">
        <v>147</v>
      </c>
      <c r="J36" s="103">
        <v>40603</v>
      </c>
      <c r="K36" s="68">
        <v>14</v>
      </c>
      <c r="L36" s="68">
        <v>40</v>
      </c>
      <c r="M36" s="68" t="s">
        <v>44</v>
      </c>
      <c r="N36" s="65" t="s">
        <v>112</v>
      </c>
      <c r="O36" s="64">
        <v>1</v>
      </c>
      <c r="P36" s="65" t="s">
        <v>113</v>
      </c>
      <c r="Q36" s="71">
        <v>13122.24</v>
      </c>
      <c r="R36" s="59"/>
      <c r="S36" s="49">
        <f t="shared" si="10"/>
        <v>2274.5216</v>
      </c>
      <c r="T36" s="49">
        <f t="shared" si="11"/>
        <v>22745.216</v>
      </c>
      <c r="U36" s="49">
        <f t="shared" si="12"/>
        <v>6823.5648000000001</v>
      </c>
      <c r="V36" s="50">
        <f t="shared" si="13"/>
        <v>1432.9486079999999</v>
      </c>
      <c r="W36" s="50">
        <f t="shared" si="14"/>
        <v>409.41388799999999</v>
      </c>
      <c r="X36" s="50">
        <f>(Q36+(AB36/12))*5.5%-AE94</f>
        <v>745.67955793650469</v>
      </c>
      <c r="Y36" s="50">
        <f t="shared" si="15"/>
        <v>272.94259199999999</v>
      </c>
      <c r="Z36" s="50">
        <v>700</v>
      </c>
      <c r="AA36" s="50">
        <v>400</v>
      </c>
      <c r="AB36" s="69">
        <f t="shared" ref="AB36:AB47" si="18">+Q36*0.04*12</f>
        <v>6298.6751999999997</v>
      </c>
      <c r="AC36" s="50">
        <f t="shared" si="16"/>
        <v>243140.67335123807</v>
      </c>
      <c r="AD36" s="34"/>
      <c r="AE36" s="58"/>
    </row>
    <row r="37" spans="1:47" s="51" customFormat="1" ht="23.1" customHeight="1" x14ac:dyDescent="0.2">
      <c r="A37" s="45">
        <f t="shared" si="17"/>
        <v>29</v>
      </c>
      <c r="B37" s="45">
        <v>9</v>
      </c>
      <c r="C37" s="45">
        <v>21</v>
      </c>
      <c r="D37" s="45">
        <v>20</v>
      </c>
      <c r="E37" s="45">
        <v>1</v>
      </c>
      <c r="F37" s="45">
        <v>1</v>
      </c>
      <c r="G37" s="61" t="s">
        <v>148</v>
      </c>
      <c r="H37" s="65" t="s">
        <v>149</v>
      </c>
      <c r="I37" s="65" t="s">
        <v>150</v>
      </c>
      <c r="J37" s="103">
        <v>40452</v>
      </c>
      <c r="K37" s="68">
        <v>14</v>
      </c>
      <c r="L37" s="68">
        <v>40</v>
      </c>
      <c r="M37" s="68" t="s">
        <v>44</v>
      </c>
      <c r="N37" s="65" t="s">
        <v>112</v>
      </c>
      <c r="O37" s="68">
        <v>1</v>
      </c>
      <c r="P37" s="65" t="s">
        <v>113</v>
      </c>
      <c r="Q37" s="71">
        <v>13122.24</v>
      </c>
      <c r="R37" s="60"/>
      <c r="S37" s="49">
        <f t="shared" si="10"/>
        <v>2274.5216</v>
      </c>
      <c r="T37" s="49">
        <f t="shared" si="11"/>
        <v>22745.216</v>
      </c>
      <c r="U37" s="49">
        <f t="shared" si="12"/>
        <v>6823.5648000000001</v>
      </c>
      <c r="V37" s="50">
        <f t="shared" si="13"/>
        <v>1432.9486079999999</v>
      </c>
      <c r="W37" s="50">
        <f t="shared" si="14"/>
        <v>409.41388799999999</v>
      </c>
      <c r="X37" s="50">
        <f>(Q37+(AB37/12))*6%-AE94</f>
        <v>813.91520593650466</v>
      </c>
      <c r="Y37" s="50">
        <f t="shared" si="15"/>
        <v>272.94259199999999</v>
      </c>
      <c r="Z37" s="50">
        <v>700</v>
      </c>
      <c r="AA37" s="50">
        <v>400</v>
      </c>
      <c r="AB37" s="69">
        <f t="shared" si="18"/>
        <v>6298.6751999999997</v>
      </c>
      <c r="AC37" s="50">
        <f t="shared" si="16"/>
        <v>243959.50112723804</v>
      </c>
      <c r="AD37" s="34"/>
      <c r="AE37" s="58"/>
    </row>
    <row r="38" spans="1:47" ht="23.1" customHeight="1" x14ac:dyDescent="0.2">
      <c r="A38" s="45">
        <f t="shared" si="17"/>
        <v>30</v>
      </c>
      <c r="B38" s="45">
        <v>9</v>
      </c>
      <c r="C38" s="45">
        <v>21</v>
      </c>
      <c r="D38" s="45">
        <v>20</v>
      </c>
      <c r="E38" s="45">
        <v>1</v>
      </c>
      <c r="F38" s="45">
        <v>1</v>
      </c>
      <c r="G38" s="61" t="s">
        <v>151</v>
      </c>
      <c r="H38" s="65" t="s">
        <v>152</v>
      </c>
      <c r="I38" s="65" t="s">
        <v>153</v>
      </c>
      <c r="J38" s="103">
        <v>39692</v>
      </c>
      <c r="K38" s="68">
        <v>14</v>
      </c>
      <c r="L38" s="68">
        <v>40</v>
      </c>
      <c r="M38" s="68" t="s">
        <v>44</v>
      </c>
      <c r="N38" s="65" t="s">
        <v>112</v>
      </c>
      <c r="O38" s="68">
        <v>1</v>
      </c>
      <c r="P38" s="65" t="s">
        <v>113</v>
      </c>
      <c r="Q38" s="71">
        <v>13122.24</v>
      </c>
      <c r="R38" s="60"/>
      <c r="S38" s="49">
        <f t="shared" si="10"/>
        <v>2274.5216</v>
      </c>
      <c r="T38" s="49">
        <f t="shared" si="11"/>
        <v>22745.216</v>
      </c>
      <c r="U38" s="49">
        <f t="shared" si="12"/>
        <v>6823.5648000000001</v>
      </c>
      <c r="V38" s="50">
        <f t="shared" si="13"/>
        <v>1432.9486079999999</v>
      </c>
      <c r="W38" s="50">
        <f t="shared" si="14"/>
        <v>409.41388799999999</v>
      </c>
      <c r="X38" s="50">
        <f>(Q38+(AB38/12))*6%-AE94</f>
        <v>813.91520593650466</v>
      </c>
      <c r="Y38" s="50">
        <f t="shared" si="15"/>
        <v>272.94259199999999</v>
      </c>
      <c r="Z38" s="50">
        <v>700</v>
      </c>
      <c r="AA38" s="50">
        <v>400</v>
      </c>
      <c r="AB38" s="69">
        <f t="shared" si="18"/>
        <v>6298.6751999999997</v>
      </c>
      <c r="AC38" s="50">
        <f t="shared" si="16"/>
        <v>243959.50112723804</v>
      </c>
      <c r="AE38" s="58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</row>
    <row r="39" spans="1:47" ht="23.1" customHeight="1" x14ac:dyDescent="0.2">
      <c r="A39" s="45">
        <f>+A40+1</f>
        <v>32</v>
      </c>
      <c r="B39" s="45">
        <v>9</v>
      </c>
      <c r="C39" s="45">
        <v>21</v>
      </c>
      <c r="D39" s="45">
        <v>20</v>
      </c>
      <c r="E39" s="45">
        <v>1</v>
      </c>
      <c r="F39" s="45">
        <v>1</v>
      </c>
      <c r="G39" s="61" t="s">
        <v>154</v>
      </c>
      <c r="H39" s="65" t="s">
        <v>155</v>
      </c>
      <c r="I39" s="65" t="s">
        <v>156</v>
      </c>
      <c r="J39" s="103">
        <v>40969</v>
      </c>
      <c r="K39" s="68">
        <v>15</v>
      </c>
      <c r="L39" s="68">
        <v>40</v>
      </c>
      <c r="M39" s="68" t="s">
        <v>44</v>
      </c>
      <c r="N39" s="65" t="s">
        <v>157</v>
      </c>
      <c r="O39" s="64">
        <v>1</v>
      </c>
      <c r="P39" s="65" t="s">
        <v>113</v>
      </c>
      <c r="Q39" s="71">
        <v>14235.72</v>
      </c>
      <c r="R39" s="60"/>
      <c r="S39" s="49">
        <f>+((Q39+AB39/12)/30)*20*25%</f>
        <v>2467.5248000000001</v>
      </c>
      <c r="T39" s="49">
        <f>(Q39+(AB39/12))/30*50</f>
        <v>24675.248</v>
      </c>
      <c r="U39" s="49">
        <f>(Q39+(AB39/12))/30*15</f>
        <v>7402.5743999999995</v>
      </c>
      <c r="V39" s="50">
        <f t="shared" si="13"/>
        <v>1554.5406239999998</v>
      </c>
      <c r="W39" s="50">
        <f t="shared" si="14"/>
        <v>444.15446399999996</v>
      </c>
      <c r="X39" s="50">
        <f>(Q39+(AB39/12))*6%-AE94</f>
        <v>883.39635793650461</v>
      </c>
      <c r="Y39" s="50">
        <f>(Q39+(AB39/12))*2%</f>
        <v>296.10297600000001</v>
      </c>
      <c r="Z39" s="50">
        <v>700</v>
      </c>
      <c r="AA39" s="50">
        <v>400</v>
      </c>
      <c r="AB39" s="69">
        <f>+Q39*0.04*12</f>
        <v>6833.1455999999998</v>
      </c>
      <c r="AC39" s="50">
        <f>+(Q39+R39+V39+W39+X39+Y39+Z39+AA39)*12+S39+T39+U39+AB39</f>
        <v>263545.46586323803</v>
      </c>
      <c r="AE39" s="58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</row>
    <row r="40" spans="1:47" s="51" customFormat="1" ht="23.1" customHeight="1" x14ac:dyDescent="0.2">
      <c r="A40" s="45">
        <f>+A38+1</f>
        <v>31</v>
      </c>
      <c r="B40" s="45">
        <v>9</v>
      </c>
      <c r="C40" s="45">
        <v>21</v>
      </c>
      <c r="D40" s="45">
        <v>20</v>
      </c>
      <c r="E40" s="45">
        <v>1</v>
      </c>
      <c r="F40" s="45">
        <v>1</v>
      </c>
      <c r="G40" s="61" t="s">
        <v>158</v>
      </c>
      <c r="H40" s="65" t="s">
        <v>159</v>
      </c>
      <c r="I40" s="65" t="s">
        <v>160</v>
      </c>
      <c r="J40" s="103">
        <v>40771</v>
      </c>
      <c r="K40" s="68">
        <v>14</v>
      </c>
      <c r="L40" s="68">
        <v>40</v>
      </c>
      <c r="M40" s="68" t="s">
        <v>44</v>
      </c>
      <c r="N40" s="65" t="s">
        <v>112</v>
      </c>
      <c r="O40" s="68">
        <v>1</v>
      </c>
      <c r="P40" s="65" t="s">
        <v>113</v>
      </c>
      <c r="Q40" s="71">
        <v>13122.24</v>
      </c>
      <c r="R40" s="60"/>
      <c r="S40" s="49">
        <f t="shared" si="10"/>
        <v>2274.5216</v>
      </c>
      <c r="T40" s="49">
        <f t="shared" si="11"/>
        <v>22745.216</v>
      </c>
      <c r="U40" s="49">
        <f>(Q40+(AB40/12))/30*15</f>
        <v>6823.5648000000001</v>
      </c>
      <c r="V40" s="50">
        <f t="shared" si="13"/>
        <v>1432.9486079999999</v>
      </c>
      <c r="W40" s="50">
        <f t="shared" si="14"/>
        <v>409.41388799999999</v>
      </c>
      <c r="X40" s="50">
        <f>(Q40+(AB40/12))*5.5%-AE94</f>
        <v>745.67955793650469</v>
      </c>
      <c r="Y40" s="50">
        <f>(Q40+(AB40/12))*2%</f>
        <v>272.94259199999999</v>
      </c>
      <c r="Z40" s="50">
        <v>700</v>
      </c>
      <c r="AA40" s="50">
        <v>400</v>
      </c>
      <c r="AB40" s="69">
        <f t="shared" si="18"/>
        <v>6298.6751999999997</v>
      </c>
      <c r="AC40" s="50">
        <f t="shared" si="16"/>
        <v>243140.67335123807</v>
      </c>
      <c r="AD40" s="34"/>
      <c r="AE40" s="58"/>
    </row>
    <row r="41" spans="1:47" ht="23.1" customHeight="1" x14ac:dyDescent="0.2">
      <c r="A41" s="45">
        <f>+A39+1</f>
        <v>33</v>
      </c>
      <c r="B41" s="45">
        <v>9</v>
      </c>
      <c r="C41" s="45">
        <v>21</v>
      </c>
      <c r="D41" s="45">
        <v>20</v>
      </c>
      <c r="E41" s="45">
        <v>1</v>
      </c>
      <c r="F41" s="45">
        <v>1</v>
      </c>
      <c r="G41" s="61" t="s">
        <v>161</v>
      </c>
      <c r="H41" s="65" t="s">
        <v>162</v>
      </c>
      <c r="I41" s="65" t="s">
        <v>163</v>
      </c>
      <c r="J41" s="103">
        <v>38749</v>
      </c>
      <c r="K41" s="68">
        <v>14</v>
      </c>
      <c r="L41" s="68">
        <v>40</v>
      </c>
      <c r="M41" s="68" t="s">
        <v>44</v>
      </c>
      <c r="N41" s="65" t="s">
        <v>112</v>
      </c>
      <c r="O41" s="64">
        <v>1</v>
      </c>
      <c r="P41" s="65" t="s">
        <v>113</v>
      </c>
      <c r="Q41" s="71">
        <v>13122.24</v>
      </c>
      <c r="R41" s="49">
        <f>+$B$90*2</f>
        <v>126.58</v>
      </c>
      <c r="S41" s="49">
        <f t="shared" si="10"/>
        <v>2274.5216</v>
      </c>
      <c r="T41" s="49">
        <f t="shared" si="11"/>
        <v>22745.216</v>
      </c>
      <c r="U41" s="49">
        <f t="shared" si="12"/>
        <v>6823.5648000000001</v>
      </c>
      <c r="V41" s="50">
        <f t="shared" si="13"/>
        <v>1432.9486079999999</v>
      </c>
      <c r="W41" s="50">
        <f t="shared" si="14"/>
        <v>409.41388799999999</v>
      </c>
      <c r="X41" s="50">
        <f>(Q41+(AB41/12))*6%-AE94</f>
        <v>813.91520593650466</v>
      </c>
      <c r="Y41" s="50">
        <f t="shared" si="15"/>
        <v>272.94259199999999</v>
      </c>
      <c r="Z41" s="50">
        <v>700</v>
      </c>
      <c r="AA41" s="50">
        <v>400</v>
      </c>
      <c r="AB41" s="69">
        <f t="shared" si="18"/>
        <v>6298.6751999999997</v>
      </c>
      <c r="AC41" s="50">
        <f t="shared" si="16"/>
        <v>245478.461127238</v>
      </c>
      <c r="AE41" s="58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</row>
    <row r="42" spans="1:47" s="51" customFormat="1" ht="23.1" customHeight="1" x14ac:dyDescent="0.2">
      <c r="A42" s="45">
        <f t="shared" si="17"/>
        <v>34</v>
      </c>
      <c r="B42" s="45">
        <v>9</v>
      </c>
      <c r="C42" s="45">
        <v>21</v>
      </c>
      <c r="D42" s="45">
        <v>20</v>
      </c>
      <c r="E42" s="45">
        <v>1</v>
      </c>
      <c r="F42" s="45">
        <v>1</v>
      </c>
      <c r="G42" s="61" t="s">
        <v>164</v>
      </c>
      <c r="H42" s="65" t="s">
        <v>165</v>
      </c>
      <c r="I42" s="65" t="s">
        <v>166</v>
      </c>
      <c r="J42" s="103">
        <v>38047</v>
      </c>
      <c r="K42" s="68">
        <v>15</v>
      </c>
      <c r="L42" s="68">
        <v>40</v>
      </c>
      <c r="M42" s="68" t="s">
        <v>44</v>
      </c>
      <c r="N42" s="65" t="s">
        <v>157</v>
      </c>
      <c r="O42" s="64">
        <v>1</v>
      </c>
      <c r="P42" s="65" t="s">
        <v>113</v>
      </c>
      <c r="Q42" s="71">
        <v>14235.72</v>
      </c>
      <c r="R42" s="59"/>
      <c r="S42" s="49">
        <f t="shared" si="10"/>
        <v>2420.0724</v>
      </c>
      <c r="T42" s="49">
        <f t="shared" si="11"/>
        <v>24200.723999999998</v>
      </c>
      <c r="U42" s="49">
        <f t="shared" si="12"/>
        <v>7260.2172</v>
      </c>
      <c r="V42" s="50">
        <f t="shared" si="13"/>
        <v>1524.645612</v>
      </c>
      <c r="W42" s="50">
        <f t="shared" si="14"/>
        <v>435.61303199999998</v>
      </c>
      <c r="X42" s="50">
        <f>(Q42+(AB42/12))*5.2%-AE94</f>
        <v>750.15001873650476</v>
      </c>
      <c r="Y42" s="50">
        <f t="shared" si="15"/>
        <v>290.40868799999998</v>
      </c>
      <c r="Z42" s="50">
        <v>700</v>
      </c>
      <c r="AA42" s="50">
        <v>400</v>
      </c>
      <c r="AB42" s="69">
        <f>+Q42*0.02*12</f>
        <v>3416.5727999999999</v>
      </c>
      <c r="AC42" s="50">
        <f t="shared" si="16"/>
        <v>257336.03460883806</v>
      </c>
      <c r="AD42" s="34"/>
      <c r="AE42" s="58"/>
    </row>
    <row r="43" spans="1:47" s="51" customFormat="1" ht="23.1" customHeight="1" x14ac:dyDescent="0.2">
      <c r="A43" s="45">
        <f t="shared" si="17"/>
        <v>35</v>
      </c>
      <c r="B43" s="45">
        <v>9</v>
      </c>
      <c r="C43" s="45">
        <v>21</v>
      </c>
      <c r="D43" s="45">
        <v>20</v>
      </c>
      <c r="E43" s="45">
        <v>1</v>
      </c>
      <c r="F43" s="45">
        <v>1</v>
      </c>
      <c r="G43" s="61" t="s">
        <v>167</v>
      </c>
      <c r="H43" s="65" t="s">
        <v>168</v>
      </c>
      <c r="I43" s="65" t="s">
        <v>169</v>
      </c>
      <c r="J43" s="103">
        <v>38749</v>
      </c>
      <c r="K43" s="68">
        <v>14</v>
      </c>
      <c r="L43" s="68">
        <v>40</v>
      </c>
      <c r="M43" s="68" t="s">
        <v>44</v>
      </c>
      <c r="N43" s="65" t="s">
        <v>112</v>
      </c>
      <c r="O43" s="64">
        <v>1</v>
      </c>
      <c r="P43" s="65" t="s">
        <v>113</v>
      </c>
      <c r="Q43" s="71">
        <v>13122.24</v>
      </c>
      <c r="R43" s="49">
        <f>+$B$90*2</f>
        <v>126.58</v>
      </c>
      <c r="S43" s="49">
        <f t="shared" si="10"/>
        <v>2274.5216</v>
      </c>
      <c r="T43" s="49">
        <f t="shared" si="11"/>
        <v>22745.216</v>
      </c>
      <c r="U43" s="49">
        <f t="shared" si="12"/>
        <v>6823.5648000000001</v>
      </c>
      <c r="V43" s="50">
        <f t="shared" si="13"/>
        <v>1432.9486079999999</v>
      </c>
      <c r="W43" s="50">
        <f t="shared" si="14"/>
        <v>409.41388799999999</v>
      </c>
      <c r="X43" s="50">
        <f>(Q43+(AB43/12))*6%-AE94</f>
        <v>813.91520593650466</v>
      </c>
      <c r="Y43" s="50">
        <f t="shared" si="15"/>
        <v>272.94259199999999</v>
      </c>
      <c r="Z43" s="50">
        <v>700</v>
      </c>
      <c r="AA43" s="50">
        <v>400</v>
      </c>
      <c r="AB43" s="69">
        <f t="shared" si="18"/>
        <v>6298.6751999999997</v>
      </c>
      <c r="AC43" s="50">
        <f t="shared" si="16"/>
        <v>245478.461127238</v>
      </c>
      <c r="AD43" s="34"/>
      <c r="AE43" s="58"/>
    </row>
    <row r="44" spans="1:47" s="51" customFormat="1" ht="23.1" customHeight="1" x14ac:dyDescent="0.2">
      <c r="A44" s="45">
        <f t="shared" si="17"/>
        <v>36</v>
      </c>
      <c r="B44" s="45">
        <v>9</v>
      </c>
      <c r="C44" s="45">
        <v>21</v>
      </c>
      <c r="D44" s="45">
        <v>20</v>
      </c>
      <c r="E44" s="45">
        <v>1</v>
      </c>
      <c r="F44" s="45">
        <v>1</v>
      </c>
      <c r="G44" s="61" t="s">
        <v>170</v>
      </c>
      <c r="H44" s="65" t="s">
        <v>171</v>
      </c>
      <c r="I44" s="65" t="s">
        <v>172</v>
      </c>
      <c r="J44" s="103">
        <v>36728</v>
      </c>
      <c r="K44" s="68">
        <v>15</v>
      </c>
      <c r="L44" s="68">
        <v>40</v>
      </c>
      <c r="M44" s="68" t="s">
        <v>44</v>
      </c>
      <c r="N44" s="65" t="s">
        <v>157</v>
      </c>
      <c r="O44" s="64">
        <v>1</v>
      </c>
      <c r="P44" s="65" t="s">
        <v>113</v>
      </c>
      <c r="Q44" s="71">
        <v>14235.72</v>
      </c>
      <c r="R44" s="49">
        <f>+$B$90*3</f>
        <v>189.87</v>
      </c>
      <c r="S44" s="49">
        <f t="shared" si="10"/>
        <v>2420.0724</v>
      </c>
      <c r="T44" s="49">
        <f t="shared" si="11"/>
        <v>24200.723999999998</v>
      </c>
      <c r="U44" s="49">
        <f t="shared" si="12"/>
        <v>7260.2172</v>
      </c>
      <c r="V44" s="50">
        <f t="shared" si="13"/>
        <v>1524.645612</v>
      </c>
      <c r="W44" s="50">
        <f t="shared" si="14"/>
        <v>435.61303199999998</v>
      </c>
      <c r="X44" s="50">
        <f>(Q44+(AB44/12))*5.2%-AE94</f>
        <v>750.15001873650476</v>
      </c>
      <c r="Y44" s="50">
        <f t="shared" si="15"/>
        <v>290.40868799999998</v>
      </c>
      <c r="Z44" s="50">
        <v>700</v>
      </c>
      <c r="AA44" s="50">
        <v>400</v>
      </c>
      <c r="AB44" s="69">
        <f>+Q44*0.02*12</f>
        <v>3416.5727999999999</v>
      </c>
      <c r="AC44" s="50">
        <f t="shared" si="16"/>
        <v>259614.47460883806</v>
      </c>
      <c r="AD44" s="34"/>
      <c r="AE44" s="58"/>
    </row>
    <row r="45" spans="1:47" ht="23.1" customHeight="1" x14ac:dyDescent="0.2">
      <c r="A45" s="45">
        <f t="shared" si="17"/>
        <v>37</v>
      </c>
      <c r="B45" s="45">
        <v>9</v>
      </c>
      <c r="C45" s="45">
        <v>21</v>
      </c>
      <c r="D45" s="45">
        <v>20</v>
      </c>
      <c r="E45" s="45">
        <v>1</v>
      </c>
      <c r="F45" s="45">
        <v>1</v>
      </c>
      <c r="G45" s="61" t="s">
        <v>173</v>
      </c>
      <c r="H45" s="65" t="s">
        <v>174</v>
      </c>
      <c r="I45" s="65" t="s">
        <v>175</v>
      </c>
      <c r="J45" s="103">
        <v>36728</v>
      </c>
      <c r="K45" s="68">
        <v>15</v>
      </c>
      <c r="L45" s="68">
        <v>40</v>
      </c>
      <c r="M45" s="68" t="s">
        <v>44</v>
      </c>
      <c r="N45" s="65" t="s">
        <v>157</v>
      </c>
      <c r="O45" s="68">
        <v>1</v>
      </c>
      <c r="P45" s="65" t="s">
        <v>113</v>
      </c>
      <c r="Q45" s="71">
        <v>14235.72</v>
      </c>
      <c r="R45" s="49">
        <f>+$B$90*3</f>
        <v>189.87</v>
      </c>
      <c r="S45" s="49">
        <f t="shared" si="10"/>
        <v>2420.0724</v>
      </c>
      <c r="T45" s="49">
        <f t="shared" si="11"/>
        <v>24200.723999999998</v>
      </c>
      <c r="U45" s="49">
        <f t="shared" si="12"/>
        <v>7260.2172</v>
      </c>
      <c r="V45" s="50">
        <f t="shared" si="13"/>
        <v>1524.645612</v>
      </c>
      <c r="W45" s="50">
        <f t="shared" si="14"/>
        <v>435.61303199999998</v>
      </c>
      <c r="X45" s="50">
        <f>(Q45+(AB45/12))*5.2%-AE94</f>
        <v>750.15001873650476</v>
      </c>
      <c r="Y45" s="50">
        <f t="shared" si="15"/>
        <v>290.40868799999998</v>
      </c>
      <c r="Z45" s="50">
        <v>700</v>
      </c>
      <c r="AA45" s="50">
        <v>400</v>
      </c>
      <c r="AB45" s="69">
        <f>+Q45*0.02*12</f>
        <v>3416.5727999999999</v>
      </c>
      <c r="AC45" s="50">
        <f t="shared" si="16"/>
        <v>259614.47460883806</v>
      </c>
      <c r="AE45" s="58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</row>
    <row r="46" spans="1:47" s="51" customFormat="1" ht="23.1" customHeight="1" x14ac:dyDescent="0.2">
      <c r="A46" s="45">
        <f t="shared" si="17"/>
        <v>38</v>
      </c>
      <c r="B46" s="45">
        <v>9</v>
      </c>
      <c r="C46" s="45">
        <v>21</v>
      </c>
      <c r="D46" s="45">
        <v>20</v>
      </c>
      <c r="E46" s="45">
        <v>1</v>
      </c>
      <c r="F46" s="45">
        <v>1</v>
      </c>
      <c r="G46" s="61" t="s">
        <v>176</v>
      </c>
      <c r="H46" s="65" t="s">
        <v>177</v>
      </c>
      <c r="I46" s="65" t="s">
        <v>178</v>
      </c>
      <c r="J46" s="103">
        <v>37681</v>
      </c>
      <c r="K46" s="68">
        <v>14</v>
      </c>
      <c r="L46" s="68">
        <v>40</v>
      </c>
      <c r="M46" s="68" t="s">
        <v>44</v>
      </c>
      <c r="N46" s="65" t="s">
        <v>112</v>
      </c>
      <c r="O46" s="68">
        <v>1</v>
      </c>
      <c r="P46" s="65" t="s">
        <v>113</v>
      </c>
      <c r="Q46" s="71">
        <v>13122.24</v>
      </c>
      <c r="R46" s="59"/>
      <c r="S46" s="49">
        <f t="shared" si="10"/>
        <v>2274.5216</v>
      </c>
      <c r="T46" s="49">
        <f t="shared" si="11"/>
        <v>22745.216</v>
      </c>
      <c r="U46" s="49">
        <f t="shared" si="12"/>
        <v>6823.5648000000001</v>
      </c>
      <c r="V46" s="50">
        <f t="shared" si="13"/>
        <v>1432.9486079999999</v>
      </c>
      <c r="W46" s="50">
        <f t="shared" si="14"/>
        <v>409.41388799999999</v>
      </c>
      <c r="X46" s="50">
        <f>(Q46+(AB46/12))*5.5%-AE94</f>
        <v>745.67955793650469</v>
      </c>
      <c r="Y46" s="50">
        <f t="shared" si="15"/>
        <v>272.94259199999999</v>
      </c>
      <c r="Z46" s="50">
        <v>700</v>
      </c>
      <c r="AA46" s="50">
        <v>400</v>
      </c>
      <c r="AB46" s="69">
        <f t="shared" si="18"/>
        <v>6298.6751999999997</v>
      </c>
      <c r="AC46" s="50">
        <f t="shared" si="16"/>
        <v>243140.67335123807</v>
      </c>
      <c r="AD46" s="34"/>
      <c r="AE46" s="58"/>
    </row>
    <row r="47" spans="1:47" s="51" customFormat="1" ht="23.1" customHeight="1" x14ac:dyDescent="0.2">
      <c r="A47" s="45">
        <f t="shared" si="17"/>
        <v>39</v>
      </c>
      <c r="B47" s="45">
        <v>9</v>
      </c>
      <c r="C47" s="45">
        <v>21</v>
      </c>
      <c r="D47" s="45">
        <v>20</v>
      </c>
      <c r="E47" s="45">
        <v>1</v>
      </c>
      <c r="F47" s="45">
        <v>1</v>
      </c>
      <c r="G47" s="61" t="s">
        <v>179</v>
      </c>
      <c r="H47" s="65" t="s">
        <v>180</v>
      </c>
      <c r="I47" s="65" t="s">
        <v>181</v>
      </c>
      <c r="J47" s="103">
        <v>40452</v>
      </c>
      <c r="K47" s="68">
        <v>14</v>
      </c>
      <c r="L47" s="68">
        <v>40</v>
      </c>
      <c r="M47" s="68" t="s">
        <v>44</v>
      </c>
      <c r="N47" s="65" t="s">
        <v>112</v>
      </c>
      <c r="O47" s="64">
        <v>1</v>
      </c>
      <c r="P47" s="65" t="s">
        <v>113</v>
      </c>
      <c r="Q47" s="71">
        <v>13122.24</v>
      </c>
      <c r="R47" s="59"/>
      <c r="S47" s="49">
        <f t="shared" si="10"/>
        <v>2274.5216</v>
      </c>
      <c r="T47" s="49">
        <f t="shared" si="11"/>
        <v>22745.216</v>
      </c>
      <c r="U47" s="49">
        <f t="shared" si="12"/>
        <v>6823.5648000000001</v>
      </c>
      <c r="V47" s="50">
        <f t="shared" si="13"/>
        <v>1432.9486079999999</v>
      </c>
      <c r="W47" s="50">
        <f t="shared" si="14"/>
        <v>409.41388799999999</v>
      </c>
      <c r="X47" s="50">
        <f>(Q47+(AB47/12))*6%-AE94</f>
        <v>813.91520593650466</v>
      </c>
      <c r="Y47" s="50">
        <f t="shared" si="15"/>
        <v>272.94259199999999</v>
      </c>
      <c r="Z47" s="50">
        <v>700</v>
      </c>
      <c r="AA47" s="50">
        <v>400</v>
      </c>
      <c r="AB47" s="69">
        <f t="shared" si="18"/>
        <v>6298.6751999999997</v>
      </c>
      <c r="AC47" s="50">
        <f t="shared" si="16"/>
        <v>243959.50112723804</v>
      </c>
      <c r="AD47" s="34"/>
      <c r="AE47" s="58"/>
    </row>
    <row r="48" spans="1:47" ht="22.5" customHeight="1" x14ac:dyDescent="0.2">
      <c r="A48" s="45">
        <f>+A47+1</f>
        <v>40</v>
      </c>
      <c r="B48" s="45">
        <v>9</v>
      </c>
      <c r="C48" s="45">
        <v>21</v>
      </c>
      <c r="D48" s="45">
        <v>20</v>
      </c>
      <c r="E48" s="45">
        <v>1</v>
      </c>
      <c r="F48" s="45">
        <v>1</v>
      </c>
      <c r="G48" s="61" t="s">
        <v>182</v>
      </c>
      <c r="H48" s="65" t="s">
        <v>183</v>
      </c>
      <c r="I48" s="65" t="s">
        <v>184</v>
      </c>
      <c r="J48" s="103">
        <v>37637</v>
      </c>
      <c r="K48" s="68">
        <v>14</v>
      </c>
      <c r="L48" s="68">
        <v>40</v>
      </c>
      <c r="M48" s="68" t="s">
        <v>44</v>
      </c>
      <c r="N48" s="65" t="s">
        <v>112</v>
      </c>
      <c r="O48" s="64">
        <v>1</v>
      </c>
      <c r="P48" s="65" t="s">
        <v>113</v>
      </c>
      <c r="Q48" s="71">
        <v>13122.24</v>
      </c>
      <c r="R48" s="60"/>
      <c r="S48" s="49">
        <f t="shared" si="10"/>
        <v>2274.5216</v>
      </c>
      <c r="T48" s="49">
        <f t="shared" si="11"/>
        <v>22745.216</v>
      </c>
      <c r="U48" s="49">
        <f t="shared" si="12"/>
        <v>6823.5648000000001</v>
      </c>
      <c r="V48" s="50">
        <f t="shared" si="13"/>
        <v>1432.9486079999999</v>
      </c>
      <c r="W48" s="50">
        <f t="shared" si="14"/>
        <v>409.41388799999999</v>
      </c>
      <c r="X48" s="50">
        <f>(Q48+(AB48/12))*6%-AE94</f>
        <v>813.91520593650466</v>
      </c>
      <c r="Y48" s="50">
        <f t="shared" si="15"/>
        <v>272.94259199999999</v>
      </c>
      <c r="Z48" s="50">
        <v>700</v>
      </c>
      <c r="AA48" s="50">
        <v>400</v>
      </c>
      <c r="AB48" s="69">
        <f>+Q48*0.04*12</f>
        <v>6298.6751999999997</v>
      </c>
      <c r="AC48" s="50">
        <f t="shared" si="16"/>
        <v>243959.50112723804</v>
      </c>
      <c r="AE48" s="58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</row>
    <row r="49" spans="1:46" s="51" customFormat="1" ht="23.1" customHeight="1" x14ac:dyDescent="0.2">
      <c r="A49" s="45">
        <f t="shared" si="17"/>
        <v>41</v>
      </c>
      <c r="B49" s="45">
        <v>9</v>
      </c>
      <c r="C49" s="45">
        <v>21</v>
      </c>
      <c r="D49" s="45">
        <v>20</v>
      </c>
      <c r="E49" s="45">
        <v>1</v>
      </c>
      <c r="F49" s="45">
        <v>1</v>
      </c>
      <c r="G49" s="61" t="s">
        <v>185</v>
      </c>
      <c r="H49" s="65" t="s">
        <v>186</v>
      </c>
      <c r="I49" s="65" t="s">
        <v>187</v>
      </c>
      <c r="J49" s="67">
        <v>38062</v>
      </c>
      <c r="K49" s="68">
        <v>11</v>
      </c>
      <c r="L49" s="68">
        <v>40</v>
      </c>
      <c r="M49" s="68" t="s">
        <v>44</v>
      </c>
      <c r="N49" s="65" t="s">
        <v>188</v>
      </c>
      <c r="O49" s="64">
        <v>1</v>
      </c>
      <c r="P49" s="65" t="s">
        <v>113</v>
      </c>
      <c r="Q49" s="71">
        <v>11392.5</v>
      </c>
      <c r="R49" s="60"/>
      <c r="S49" s="49">
        <f t="shared" si="10"/>
        <v>2012.6749999999997</v>
      </c>
      <c r="T49" s="49">
        <f t="shared" si="11"/>
        <v>20126.75</v>
      </c>
      <c r="U49" s="49">
        <f>(Q49+(AB49/12))/30*15</f>
        <v>6038.0249999999996</v>
      </c>
      <c r="V49" s="50">
        <f t="shared" si="13"/>
        <v>1267.98525</v>
      </c>
      <c r="W49" s="50">
        <f t="shared" si="14"/>
        <v>362.28149999999994</v>
      </c>
      <c r="X49" s="50">
        <f>(Q49+(AB49/12))*6%-AE94</f>
        <v>719.65042993650457</v>
      </c>
      <c r="Y49" s="50">
        <f>(Q49+(AB49/12))*2%</f>
        <v>241.52099999999999</v>
      </c>
      <c r="Z49" s="50">
        <v>700</v>
      </c>
      <c r="AA49" s="50">
        <v>400</v>
      </c>
      <c r="AB49" s="69">
        <f>+Q49*0.06*12</f>
        <v>8202.5999999999985</v>
      </c>
      <c r="AC49" s="50">
        <f t="shared" si="16"/>
        <v>217387.30815923802</v>
      </c>
      <c r="AD49" s="34"/>
      <c r="AE49" s="58"/>
    </row>
    <row r="50" spans="1:46" s="51" customFormat="1" ht="23.1" customHeight="1" x14ac:dyDescent="0.2">
      <c r="A50" s="45">
        <f t="shared" si="17"/>
        <v>42</v>
      </c>
      <c r="B50" s="45">
        <v>9</v>
      </c>
      <c r="C50" s="45">
        <v>21</v>
      </c>
      <c r="D50" s="45">
        <v>20</v>
      </c>
      <c r="E50" s="45">
        <v>1</v>
      </c>
      <c r="F50" s="45">
        <v>1</v>
      </c>
      <c r="G50" s="61" t="s">
        <v>189</v>
      </c>
      <c r="H50" s="65" t="s">
        <v>190</v>
      </c>
      <c r="I50" s="65" t="s">
        <v>191</v>
      </c>
      <c r="J50" s="103">
        <v>38565</v>
      </c>
      <c r="K50" s="68">
        <v>19</v>
      </c>
      <c r="L50" s="68">
        <v>40</v>
      </c>
      <c r="M50" s="68" t="s">
        <v>55</v>
      </c>
      <c r="N50" s="65" t="s">
        <v>192</v>
      </c>
      <c r="O50" s="64">
        <v>1</v>
      </c>
      <c r="P50" s="65" t="s">
        <v>113</v>
      </c>
      <c r="Q50" s="71">
        <v>24533</v>
      </c>
      <c r="R50" s="49">
        <f>+$B$90*2</f>
        <v>126.58</v>
      </c>
      <c r="S50" s="49">
        <f t="shared" si="10"/>
        <v>4170.6099999999997</v>
      </c>
      <c r="T50" s="49">
        <f t="shared" si="11"/>
        <v>41706.1</v>
      </c>
      <c r="U50" s="49">
        <f>(Q50+(AB50/12))/30*15</f>
        <v>12511.83</v>
      </c>
      <c r="V50" s="50">
        <f t="shared" si="13"/>
        <v>2627.4843000000001</v>
      </c>
      <c r="W50" s="50">
        <f t="shared" si="14"/>
        <v>750.70979999999997</v>
      </c>
      <c r="X50" s="50">
        <f>(Q50+(AB50/12))*4%-AE94</f>
        <v>996.03382993650473</v>
      </c>
      <c r="Y50" s="50">
        <f>(Q50+(AB50/12))*2%</f>
        <v>500.47320000000002</v>
      </c>
      <c r="Z50" s="50">
        <v>700</v>
      </c>
      <c r="AA50" s="50">
        <v>400</v>
      </c>
      <c r="AB50" s="69">
        <f>+Q50*0.02*12</f>
        <v>5887.92</v>
      </c>
      <c r="AC50" s="50">
        <f t="shared" si="16"/>
        <v>431887.833559238</v>
      </c>
      <c r="AD50" s="34"/>
      <c r="AE50" s="58"/>
    </row>
    <row r="51" spans="1:46" ht="23.1" customHeight="1" x14ac:dyDescent="0.2">
      <c r="A51" s="45">
        <f>+A50+1</f>
        <v>43</v>
      </c>
      <c r="B51" s="45">
        <v>9</v>
      </c>
      <c r="C51" s="45">
        <v>21</v>
      </c>
      <c r="D51" s="45">
        <v>20</v>
      </c>
      <c r="E51" s="45">
        <v>1</v>
      </c>
      <c r="F51" s="45">
        <v>1</v>
      </c>
      <c r="G51" s="61" t="s">
        <v>193</v>
      </c>
      <c r="H51" s="65" t="s">
        <v>194</v>
      </c>
      <c r="I51" s="65"/>
      <c r="J51" s="103"/>
      <c r="K51" s="68">
        <v>16</v>
      </c>
      <c r="L51" s="68">
        <v>40</v>
      </c>
      <c r="M51" s="68" t="s">
        <v>44</v>
      </c>
      <c r="N51" s="65" t="s">
        <v>195</v>
      </c>
      <c r="O51" s="64">
        <v>1</v>
      </c>
      <c r="P51" s="65" t="s">
        <v>113</v>
      </c>
      <c r="Q51" s="71">
        <v>17551.169999999998</v>
      </c>
      <c r="R51" s="59"/>
      <c r="S51" s="49">
        <f t="shared" si="10"/>
        <v>3042.2027999999996</v>
      </c>
      <c r="T51" s="49">
        <f t="shared" si="11"/>
        <v>30422.027999999995</v>
      </c>
      <c r="U51" s="49">
        <f t="shared" si="12"/>
        <v>9126.6083999999992</v>
      </c>
      <c r="V51" s="50">
        <f t="shared" si="13"/>
        <v>1916.5877639999997</v>
      </c>
      <c r="W51" s="50">
        <f t="shared" si="14"/>
        <v>547.59650399999998</v>
      </c>
      <c r="X51" s="50">
        <f>(Q51+(AB51/12))*5.5%-AE94</f>
        <v>999.01435393650456</v>
      </c>
      <c r="Y51" s="50">
        <f t="shared" si="15"/>
        <v>365.06433599999997</v>
      </c>
      <c r="Z51" s="50">
        <v>700</v>
      </c>
      <c r="AA51" s="50">
        <v>400</v>
      </c>
      <c r="AB51" s="69">
        <f>+Q51*0.04*12</f>
        <v>8424.5615999999991</v>
      </c>
      <c r="AC51" s="50">
        <f t="shared" si="16"/>
        <v>320768.59629523812</v>
      </c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</row>
    <row r="52" spans="1:46" s="51" customFormat="1" ht="22.5" customHeight="1" x14ac:dyDescent="0.2">
      <c r="A52" s="45">
        <f>+A51+1</f>
        <v>44</v>
      </c>
      <c r="B52" s="45">
        <v>9</v>
      </c>
      <c r="C52" s="45">
        <v>21</v>
      </c>
      <c r="D52" s="45">
        <v>20</v>
      </c>
      <c r="E52" s="45">
        <v>1</v>
      </c>
      <c r="F52" s="45">
        <v>1</v>
      </c>
      <c r="G52" s="61" t="s">
        <v>196</v>
      </c>
      <c r="H52" s="65" t="s">
        <v>197</v>
      </c>
      <c r="I52" s="65"/>
      <c r="J52" s="103"/>
      <c r="K52" s="68">
        <v>14</v>
      </c>
      <c r="L52" s="68">
        <v>40</v>
      </c>
      <c r="M52" s="68" t="s">
        <v>44</v>
      </c>
      <c r="N52" s="65" t="s">
        <v>112</v>
      </c>
      <c r="O52" s="64">
        <v>1</v>
      </c>
      <c r="P52" s="65" t="s">
        <v>113</v>
      </c>
      <c r="Q52" s="71">
        <v>13122.24</v>
      </c>
      <c r="R52" s="60"/>
      <c r="S52" s="49">
        <f>+((Q52+AB52/12)/30)*20*25%</f>
        <v>2296.3919999999998</v>
      </c>
      <c r="T52" s="49">
        <f>(Q52+(AB52/12))/30*50</f>
        <v>22963.919999999998</v>
      </c>
      <c r="U52" s="49">
        <f>(Q52+(AB52/12))/30*15</f>
        <v>6889.1759999999995</v>
      </c>
      <c r="V52" s="50">
        <f>(Q52+(AB52/12))*10.5%</f>
        <v>1446.7269599999997</v>
      </c>
      <c r="W52" s="50">
        <f>(Q52+(AB52/12))*3%</f>
        <v>413.35055999999997</v>
      </c>
      <c r="X52" s="50">
        <f>(Q52+(AB52/12))*6%-AE94</f>
        <v>821.78854993650464</v>
      </c>
      <c r="Y52" s="50">
        <f>(Q52+(AB52/12))*2%</f>
        <v>275.56703999999996</v>
      </c>
      <c r="Z52" s="50">
        <v>700</v>
      </c>
      <c r="AA52" s="50">
        <v>400</v>
      </c>
      <c r="AB52" s="69">
        <f>+Q52*0.05*12</f>
        <v>7873.344000000001</v>
      </c>
      <c r="AC52" s="50">
        <f>+(Q52+R52+V52+W52+X52+Y52+Z52+AA52)*12+S52+T52+U52+AB52</f>
        <v>246178.9093192381</v>
      </c>
      <c r="AD52" s="34"/>
      <c r="AE52" s="104" t="s">
        <v>198</v>
      </c>
      <c r="AF52" s="104" t="s">
        <v>199</v>
      </c>
      <c r="AG52" s="104" t="s">
        <v>200</v>
      </c>
    </row>
    <row r="53" spans="1:46" s="51" customFormat="1" ht="23.1" customHeight="1" x14ac:dyDescent="0.2">
      <c r="A53" s="45">
        <f>+A52+1</f>
        <v>45</v>
      </c>
      <c r="B53" s="45">
        <v>9</v>
      </c>
      <c r="C53" s="45">
        <v>21</v>
      </c>
      <c r="D53" s="45">
        <v>20</v>
      </c>
      <c r="E53" s="45">
        <v>1</v>
      </c>
      <c r="F53" s="45">
        <v>1</v>
      </c>
      <c r="G53" s="61" t="s">
        <v>201</v>
      </c>
      <c r="H53" s="65" t="s">
        <v>202</v>
      </c>
      <c r="I53" s="65"/>
      <c r="J53" s="103"/>
      <c r="K53" s="68">
        <v>15</v>
      </c>
      <c r="L53" s="68">
        <v>40</v>
      </c>
      <c r="M53" s="68" t="s">
        <v>44</v>
      </c>
      <c r="N53" s="65" t="s">
        <v>157</v>
      </c>
      <c r="O53" s="68">
        <v>1</v>
      </c>
      <c r="P53" s="65" t="s">
        <v>113</v>
      </c>
      <c r="Q53" s="71">
        <v>14235.72</v>
      </c>
      <c r="R53" s="60"/>
      <c r="S53" s="49">
        <f>+((Q53+AB53/12)/30)*20*25%</f>
        <v>2491.2510000000002</v>
      </c>
      <c r="T53" s="49">
        <f>(Q53+(AB53/12))/30*50</f>
        <v>24912.510000000002</v>
      </c>
      <c r="U53" s="49">
        <f>(Q53+(AB53/12))/30*15</f>
        <v>7473.7529999999997</v>
      </c>
      <c r="V53" s="50">
        <f t="shared" si="13"/>
        <v>1569.48813</v>
      </c>
      <c r="W53" s="50">
        <f t="shared" si="14"/>
        <v>448.42517999999995</v>
      </c>
      <c r="X53" s="50">
        <f>(Q53+(AB53/12))*6%-AE94</f>
        <v>891.9377899365046</v>
      </c>
      <c r="Y53" s="50">
        <f>(Q53+(AB53/12))*2%</f>
        <v>298.95011999999997</v>
      </c>
      <c r="Z53" s="50">
        <v>700</v>
      </c>
      <c r="AA53" s="50">
        <v>400</v>
      </c>
      <c r="AB53" s="69">
        <f>+Q53*0.05*12</f>
        <v>8541.4320000000007</v>
      </c>
      <c r="AC53" s="50">
        <f t="shared" si="16"/>
        <v>265953.20063923806</v>
      </c>
      <c r="AD53" s="34"/>
      <c r="AE53" s="58"/>
    </row>
    <row r="54" spans="1:46" s="51" customFormat="1" ht="23.1" customHeight="1" x14ac:dyDescent="0.2">
      <c r="A54" s="45">
        <f t="shared" si="17"/>
        <v>46</v>
      </c>
      <c r="B54" s="45">
        <v>9</v>
      </c>
      <c r="C54" s="45">
        <v>21</v>
      </c>
      <c r="D54" s="45">
        <v>20</v>
      </c>
      <c r="E54" s="45">
        <v>1</v>
      </c>
      <c r="F54" s="45">
        <v>1</v>
      </c>
      <c r="G54" s="61" t="s">
        <v>203</v>
      </c>
      <c r="H54" s="65" t="s">
        <v>204</v>
      </c>
      <c r="I54" s="65"/>
      <c r="J54" s="67"/>
      <c r="K54" s="68">
        <v>16</v>
      </c>
      <c r="L54" s="68">
        <v>40</v>
      </c>
      <c r="M54" s="68" t="s">
        <v>44</v>
      </c>
      <c r="N54" s="65" t="s">
        <v>205</v>
      </c>
      <c r="O54" s="64">
        <v>1</v>
      </c>
      <c r="P54" s="65" t="s">
        <v>113</v>
      </c>
      <c r="Q54" s="71">
        <v>17213</v>
      </c>
      <c r="R54" s="60"/>
      <c r="S54" s="49">
        <f>+((Q54+AB54/12)/30)*20*25%</f>
        <v>3012.2750000000001</v>
      </c>
      <c r="T54" s="49">
        <f>(Q54+(AB54/12))/30*50</f>
        <v>30122.750000000004</v>
      </c>
      <c r="U54" s="49">
        <f>(Q54+(AB54/12))/30*15</f>
        <v>9036.8250000000007</v>
      </c>
      <c r="V54" s="50">
        <f>(Q54+(AB54/12))*10.5%</f>
        <v>1897.73325</v>
      </c>
      <c r="W54" s="50">
        <f>(Q54+(AB54/12))*3%</f>
        <v>542.20950000000005</v>
      </c>
      <c r="X54" s="50">
        <f>(Q54+(AB54/12))*6%-AE94</f>
        <v>1079.5064299365047</v>
      </c>
      <c r="Y54" s="50">
        <f>(Q54+(AB54/12))*2%</f>
        <v>361.47300000000001</v>
      </c>
      <c r="Z54" s="50">
        <v>700</v>
      </c>
      <c r="AA54" s="50">
        <v>400</v>
      </c>
      <c r="AB54" s="69">
        <f>+Q54*0.05*12</f>
        <v>10327.800000000001</v>
      </c>
      <c r="AC54" s="50">
        <f>+(Q54+R54+V54+W54+X54+Y54+Z54+AA54)*12+S54+T54+U54+AB54</f>
        <v>318826.71615923813</v>
      </c>
      <c r="AD54" s="34"/>
    </row>
    <row r="55" spans="1:46" s="108" customFormat="1" ht="5.25" customHeight="1" x14ac:dyDescent="0.2">
      <c r="A55" s="105"/>
      <c r="B55" s="105"/>
      <c r="C55" s="105"/>
      <c r="D55" s="105"/>
      <c r="E55" s="105"/>
      <c r="F55" s="105"/>
      <c r="G55" s="61"/>
      <c r="H55" s="65"/>
      <c r="I55" s="65"/>
      <c r="J55" s="103"/>
      <c r="K55" s="68"/>
      <c r="L55" s="68"/>
      <c r="M55" s="68"/>
      <c r="N55" s="65"/>
      <c r="O55" s="64"/>
      <c r="P55" s="65"/>
      <c r="Q55" s="71"/>
      <c r="R55" s="59"/>
      <c r="S55" s="49"/>
      <c r="T55" s="106"/>
      <c r="U55" s="106"/>
      <c r="V55" s="107"/>
      <c r="W55" s="107"/>
      <c r="X55" s="107"/>
      <c r="Y55" s="107"/>
      <c r="Z55" s="107"/>
      <c r="AA55" s="107"/>
      <c r="AB55" s="69"/>
      <c r="AC55" s="107"/>
      <c r="AD55" s="34"/>
      <c r="AE55" s="51"/>
      <c r="AF55" s="51"/>
      <c r="AG55" s="51"/>
    </row>
    <row r="56" spans="1:46" ht="23.1" hidden="1" customHeight="1" x14ac:dyDescent="0.2">
      <c r="A56" s="45"/>
      <c r="B56" s="45"/>
      <c r="C56" s="45"/>
      <c r="D56" s="45"/>
      <c r="E56" s="45"/>
      <c r="F56" s="45"/>
      <c r="G56" s="61" t="s">
        <v>206</v>
      </c>
      <c r="H56" s="65"/>
      <c r="I56" s="65"/>
      <c r="J56" s="109"/>
      <c r="K56" s="68"/>
      <c r="L56" s="68"/>
      <c r="M56" s="68"/>
      <c r="N56" s="65"/>
      <c r="O56" s="68"/>
      <c r="P56" s="65"/>
      <c r="Q56" s="49"/>
      <c r="R56" s="60"/>
      <c r="S56" s="49"/>
      <c r="T56" s="49"/>
      <c r="U56" s="49"/>
      <c r="V56" s="50"/>
      <c r="W56" s="50"/>
      <c r="X56" s="50"/>
      <c r="Y56" s="50"/>
      <c r="Z56" s="50"/>
      <c r="AA56" s="50"/>
      <c r="AB56" s="69"/>
      <c r="AC56" s="50"/>
      <c r="AE56" s="110"/>
      <c r="AF56" s="110"/>
      <c r="AG56" s="11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</row>
    <row r="57" spans="1:46" ht="23.1" customHeight="1" x14ac:dyDescent="0.2">
      <c r="A57" s="45">
        <f>+A54+1</f>
        <v>47</v>
      </c>
      <c r="B57" s="45">
        <v>9</v>
      </c>
      <c r="C57" s="45">
        <v>21</v>
      </c>
      <c r="D57" s="45">
        <v>20</v>
      </c>
      <c r="E57" s="45">
        <v>1</v>
      </c>
      <c r="F57" s="45">
        <v>1</v>
      </c>
      <c r="G57" s="61" t="s">
        <v>207</v>
      </c>
      <c r="H57" s="65" t="s">
        <v>208</v>
      </c>
      <c r="I57" s="65" t="s">
        <v>209</v>
      </c>
      <c r="J57" s="109"/>
      <c r="K57" s="68"/>
      <c r="L57" s="68">
        <v>4</v>
      </c>
      <c r="M57" s="68" t="s">
        <v>210</v>
      </c>
      <c r="N57" s="65" t="s">
        <v>211</v>
      </c>
      <c r="O57" s="68">
        <v>1</v>
      </c>
      <c r="P57" s="65" t="s">
        <v>113</v>
      </c>
      <c r="Q57" s="49">
        <f>+L57*4*$B$82</f>
        <v>3688.96</v>
      </c>
      <c r="R57" s="60"/>
      <c r="S57" s="49">
        <f t="shared" ref="S57:S73" si="19">+((Q57+AB57/12)/30)*20*25%</f>
        <v>633.27146666666658</v>
      </c>
      <c r="T57" s="49">
        <f t="shared" ref="T57:T73" si="20">(Q57+(AB57/12))/30*50</f>
        <v>6332.7146666666667</v>
      </c>
      <c r="U57" s="49">
        <v>0</v>
      </c>
      <c r="V57" s="50">
        <v>0</v>
      </c>
      <c r="W57" s="50">
        <v>0</v>
      </c>
      <c r="X57" s="70">
        <f>(Q57+(AB57/12))*11%-AE94</f>
        <v>413.04659793650461</v>
      </c>
      <c r="Y57" s="50">
        <v>0</v>
      </c>
      <c r="Z57" s="50">
        <f>+AE58*$AF$57</f>
        <v>70</v>
      </c>
      <c r="AA57" s="50">
        <f t="shared" ref="AA57:AA73" si="21">+AE58*$AG$57</f>
        <v>40</v>
      </c>
      <c r="AB57" s="69">
        <f t="shared" ref="AB57:AB73" si="22">+Q57*0.03*12</f>
        <v>1328.0255999999999</v>
      </c>
      <c r="AC57" s="70">
        <f t="shared" ref="AC57:AC73" si="23">+(Q57+R57+V57+W57+X57+Y57+Z57+AA57)*12+S57+T57+U57+AB57</f>
        <v>58838.090908571387</v>
      </c>
      <c r="AE57" s="104">
        <f t="shared" ref="AE57:AE75" si="24">+L56*4</f>
        <v>0</v>
      </c>
      <c r="AF57" s="111">
        <f>700/160</f>
        <v>4.375</v>
      </c>
      <c r="AG57" s="111">
        <f>400/160</f>
        <v>2.5</v>
      </c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</row>
    <row r="58" spans="1:46" ht="23.1" customHeight="1" x14ac:dyDescent="0.2">
      <c r="A58" s="45">
        <f>+A57+1</f>
        <v>48</v>
      </c>
      <c r="B58" s="45">
        <v>9</v>
      </c>
      <c r="C58" s="45">
        <v>21</v>
      </c>
      <c r="D58" s="45">
        <v>20</v>
      </c>
      <c r="E58" s="45">
        <v>1</v>
      </c>
      <c r="F58" s="45">
        <v>1</v>
      </c>
      <c r="G58" s="61" t="s">
        <v>212</v>
      </c>
      <c r="H58" s="65" t="s">
        <v>213</v>
      </c>
      <c r="I58" s="65" t="s">
        <v>214</v>
      </c>
      <c r="J58" s="109"/>
      <c r="K58" s="68"/>
      <c r="L58" s="68">
        <v>2</v>
      </c>
      <c r="M58" s="68" t="s">
        <v>210</v>
      </c>
      <c r="N58" s="65" t="s">
        <v>215</v>
      </c>
      <c r="O58" s="64">
        <v>1</v>
      </c>
      <c r="P58" s="65" t="s">
        <v>113</v>
      </c>
      <c r="Q58" s="49">
        <f>+L58*4*$B$83</f>
        <v>1895.28</v>
      </c>
      <c r="R58" s="60"/>
      <c r="S58" s="49">
        <f t="shared" si="19"/>
        <v>325.35640000000001</v>
      </c>
      <c r="T58" s="49">
        <f t="shared" si="20"/>
        <v>3253.5640000000003</v>
      </c>
      <c r="U58" s="49">
        <v>0</v>
      </c>
      <c r="V58" s="50">
        <v>0</v>
      </c>
      <c r="W58" s="50">
        <v>0</v>
      </c>
      <c r="X58" s="50">
        <f>(Q58+(AB58/12))*20%-AE94</f>
        <v>385.51510993650464</v>
      </c>
      <c r="Y58" s="50">
        <v>0</v>
      </c>
      <c r="Z58" s="50">
        <f>+AE59*$AF$57</f>
        <v>35</v>
      </c>
      <c r="AA58" s="50">
        <f t="shared" si="21"/>
        <v>20</v>
      </c>
      <c r="AB58" s="69">
        <f t="shared" si="22"/>
        <v>682.30079999999998</v>
      </c>
      <c r="AC58" s="50">
        <f t="shared" si="23"/>
        <v>32290.762519238055</v>
      </c>
      <c r="AE58" s="104">
        <f t="shared" si="24"/>
        <v>16</v>
      </c>
      <c r="AF58" s="111"/>
      <c r="AG58" s="11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</row>
    <row r="59" spans="1:46" s="51" customFormat="1" ht="23.1" customHeight="1" x14ac:dyDescent="0.2">
      <c r="A59" s="45">
        <f t="shared" ref="A59:A73" si="25">+A58+1</f>
        <v>49</v>
      </c>
      <c r="B59" s="45">
        <v>9</v>
      </c>
      <c r="C59" s="45">
        <v>21</v>
      </c>
      <c r="D59" s="45">
        <v>20</v>
      </c>
      <c r="E59" s="45">
        <v>1</v>
      </c>
      <c r="F59" s="45">
        <v>1</v>
      </c>
      <c r="G59" s="61" t="s">
        <v>216</v>
      </c>
      <c r="H59" s="65" t="s">
        <v>217</v>
      </c>
      <c r="I59" s="65" t="s">
        <v>218</v>
      </c>
      <c r="J59" s="103">
        <v>39295</v>
      </c>
      <c r="K59" s="68"/>
      <c r="L59" s="68">
        <v>8</v>
      </c>
      <c r="M59" s="68" t="s">
        <v>210</v>
      </c>
      <c r="N59" s="65" t="s">
        <v>211</v>
      </c>
      <c r="O59" s="68">
        <v>1</v>
      </c>
      <c r="P59" s="65" t="s">
        <v>113</v>
      </c>
      <c r="Q59" s="49">
        <f>+L59*4*$B$82</f>
        <v>7377.92</v>
      </c>
      <c r="R59" s="60"/>
      <c r="S59" s="49">
        <f t="shared" si="19"/>
        <v>1266.5429333333332</v>
      </c>
      <c r="T59" s="49">
        <f t="shared" si="20"/>
        <v>12665.429333333333</v>
      </c>
      <c r="U59" s="49">
        <f>(Q59+(AB59/12))/30*15</f>
        <v>3799.6288</v>
      </c>
      <c r="V59" s="50">
        <f>(Q59+(AB59/12))*10.5%</f>
        <v>797.92204800000002</v>
      </c>
      <c r="W59" s="50">
        <f>(Q59+(AB59/12))*3%</f>
        <v>227.97772799999998</v>
      </c>
      <c r="X59" s="50">
        <f>(Q59+(AB59/12))*10%-AE94</f>
        <v>755.01318993650477</v>
      </c>
      <c r="Y59" s="50">
        <f>(Q59+(AB59/12))*2%</f>
        <v>151.985152</v>
      </c>
      <c r="Z59" s="50">
        <f>+AE60*$AF$57</f>
        <v>140</v>
      </c>
      <c r="AA59" s="50">
        <f t="shared" si="21"/>
        <v>80</v>
      </c>
      <c r="AB59" s="69">
        <f t="shared" si="22"/>
        <v>2656.0511999999999</v>
      </c>
      <c r="AC59" s="50">
        <f t="shared" si="23"/>
        <v>134757.46968190468</v>
      </c>
      <c r="AD59" s="34"/>
      <c r="AE59" s="104">
        <f t="shared" si="24"/>
        <v>8</v>
      </c>
      <c r="AF59" s="111"/>
      <c r="AG59" s="111"/>
    </row>
    <row r="60" spans="1:46" ht="23.1" customHeight="1" x14ac:dyDescent="0.2">
      <c r="A60" s="45">
        <f t="shared" si="25"/>
        <v>50</v>
      </c>
      <c r="B60" s="45">
        <v>9</v>
      </c>
      <c r="C60" s="45">
        <v>21</v>
      </c>
      <c r="D60" s="45">
        <v>20</v>
      </c>
      <c r="E60" s="45">
        <v>1</v>
      </c>
      <c r="F60" s="45">
        <v>1</v>
      </c>
      <c r="G60" s="61" t="s">
        <v>219</v>
      </c>
      <c r="H60" s="65" t="s">
        <v>220</v>
      </c>
      <c r="I60" s="65" t="s">
        <v>221</v>
      </c>
      <c r="J60" s="109"/>
      <c r="K60" s="68"/>
      <c r="L60" s="68">
        <v>2</v>
      </c>
      <c r="M60" s="68" t="s">
        <v>210</v>
      </c>
      <c r="N60" s="65" t="s">
        <v>222</v>
      </c>
      <c r="O60" s="64">
        <v>1</v>
      </c>
      <c r="P60" s="65" t="s">
        <v>113</v>
      </c>
      <c r="Q60" s="49">
        <f>+L60*4*$B$84</f>
        <v>1982.88</v>
      </c>
      <c r="R60" s="60"/>
      <c r="S60" s="49">
        <f t="shared" si="19"/>
        <v>340.39440000000002</v>
      </c>
      <c r="T60" s="49">
        <f t="shared" si="20"/>
        <v>3403.944</v>
      </c>
      <c r="U60" s="49">
        <v>0</v>
      </c>
      <c r="V60" s="50">
        <v>0</v>
      </c>
      <c r="W60" s="50">
        <v>0</v>
      </c>
      <c r="X60" s="50">
        <f>(Q60+(AB60/12))*20%-AE94</f>
        <v>403.56070993650468</v>
      </c>
      <c r="Y60" s="50">
        <v>0</v>
      </c>
      <c r="Z60" s="50">
        <f>+AE61*$AF$57</f>
        <v>35</v>
      </c>
      <c r="AA60" s="50">
        <f t="shared" si="21"/>
        <v>20</v>
      </c>
      <c r="AB60" s="69">
        <f t="shared" si="22"/>
        <v>713.83680000000004</v>
      </c>
      <c r="AC60" s="50">
        <f t="shared" si="23"/>
        <v>33755.463719238054</v>
      </c>
      <c r="AE60" s="104">
        <f t="shared" si="24"/>
        <v>32</v>
      </c>
      <c r="AF60" s="111"/>
      <c r="AG60" s="11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</row>
    <row r="61" spans="1:46" s="51" customFormat="1" ht="23.1" customHeight="1" x14ac:dyDescent="0.2">
      <c r="A61" s="45">
        <f t="shared" si="25"/>
        <v>51</v>
      </c>
      <c r="B61" s="45">
        <v>9</v>
      </c>
      <c r="C61" s="45">
        <v>21</v>
      </c>
      <c r="D61" s="45">
        <v>20</v>
      </c>
      <c r="E61" s="45">
        <v>1</v>
      </c>
      <c r="F61" s="45">
        <v>1</v>
      </c>
      <c r="G61" s="61" t="s">
        <v>223</v>
      </c>
      <c r="H61" s="65" t="s">
        <v>224</v>
      </c>
      <c r="I61" s="65" t="s">
        <v>225</v>
      </c>
      <c r="J61" s="109"/>
      <c r="K61" s="68"/>
      <c r="L61" s="68">
        <v>3</v>
      </c>
      <c r="M61" s="68" t="s">
        <v>210</v>
      </c>
      <c r="N61" s="65" t="s">
        <v>211</v>
      </c>
      <c r="O61" s="68">
        <v>1</v>
      </c>
      <c r="P61" s="65" t="s">
        <v>113</v>
      </c>
      <c r="Q61" s="49">
        <f>+L61*4*$B$82</f>
        <v>2766.7200000000003</v>
      </c>
      <c r="R61" s="60"/>
      <c r="S61" s="49">
        <f t="shared" si="19"/>
        <v>474.95360000000005</v>
      </c>
      <c r="T61" s="49">
        <f t="shared" si="20"/>
        <v>4749.5360000000001</v>
      </c>
      <c r="U61" s="49">
        <v>0</v>
      </c>
      <c r="V61" s="50">
        <v>0</v>
      </c>
      <c r="W61" s="50">
        <v>0</v>
      </c>
      <c r="X61" s="50">
        <f>(Q61+(AB61/12))*14.5%-AE94</f>
        <v>408.29706193650463</v>
      </c>
      <c r="Y61" s="50">
        <v>0</v>
      </c>
      <c r="Z61" s="50">
        <f>+AE62*$AF$57+0.5</f>
        <v>53</v>
      </c>
      <c r="AA61" s="50">
        <f t="shared" si="21"/>
        <v>30</v>
      </c>
      <c r="AB61" s="69">
        <f t="shared" si="22"/>
        <v>996.01920000000018</v>
      </c>
      <c r="AC61" s="50">
        <f t="shared" si="23"/>
        <v>45316.71354323806</v>
      </c>
      <c r="AD61" s="34"/>
      <c r="AE61" s="104">
        <f t="shared" si="24"/>
        <v>8</v>
      </c>
      <c r="AF61" s="111"/>
      <c r="AG61" s="111"/>
    </row>
    <row r="62" spans="1:46" ht="23.1" customHeight="1" x14ac:dyDescent="0.2">
      <c r="A62" s="45">
        <f t="shared" si="25"/>
        <v>52</v>
      </c>
      <c r="B62" s="45">
        <v>9</v>
      </c>
      <c r="C62" s="45">
        <v>21</v>
      </c>
      <c r="D62" s="45">
        <v>20</v>
      </c>
      <c r="E62" s="45">
        <v>1</v>
      </c>
      <c r="F62" s="45">
        <v>1</v>
      </c>
      <c r="G62" s="61" t="s">
        <v>226</v>
      </c>
      <c r="H62" s="112" t="s">
        <v>227</v>
      </c>
      <c r="I62" s="65" t="s">
        <v>228</v>
      </c>
      <c r="J62" s="109"/>
      <c r="K62" s="68"/>
      <c r="L62" s="68">
        <v>6</v>
      </c>
      <c r="M62" s="68" t="s">
        <v>210</v>
      </c>
      <c r="N62" s="65" t="s">
        <v>215</v>
      </c>
      <c r="O62" s="64">
        <v>1</v>
      </c>
      <c r="P62" s="65" t="s">
        <v>113</v>
      </c>
      <c r="Q62" s="49">
        <f>+L62*4*$B$83</f>
        <v>5685.84</v>
      </c>
      <c r="R62" s="60"/>
      <c r="S62" s="49">
        <f t="shared" si="19"/>
        <v>976.06920000000002</v>
      </c>
      <c r="T62" s="49">
        <f t="shared" si="20"/>
        <v>9760.6920000000009</v>
      </c>
      <c r="U62" s="49">
        <v>0</v>
      </c>
      <c r="V62" s="50">
        <v>0</v>
      </c>
      <c r="W62" s="50">
        <v>0</v>
      </c>
      <c r="X62" s="50">
        <f>(Q62+(AB62/12))*11%-AE94</f>
        <v>639.29310193650474</v>
      </c>
      <c r="Y62" s="50">
        <v>0</v>
      </c>
      <c r="Z62" s="50">
        <f t="shared" ref="Z62:Z70" si="26">+AE63*$AF$57</f>
        <v>105</v>
      </c>
      <c r="AA62" s="50">
        <f t="shared" si="21"/>
        <v>60</v>
      </c>
      <c r="AB62" s="69">
        <f t="shared" si="22"/>
        <v>2046.9023999999999</v>
      </c>
      <c r="AC62" s="50">
        <f t="shared" si="23"/>
        <v>90665.260823238059</v>
      </c>
      <c r="AE62" s="104">
        <f t="shared" si="24"/>
        <v>12</v>
      </c>
      <c r="AF62" s="111"/>
      <c r="AG62" s="11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</row>
    <row r="63" spans="1:46" ht="23.1" customHeight="1" x14ac:dyDescent="0.2">
      <c r="A63" s="45">
        <f t="shared" si="25"/>
        <v>53</v>
      </c>
      <c r="B63" s="45">
        <v>9</v>
      </c>
      <c r="C63" s="45">
        <v>21</v>
      </c>
      <c r="D63" s="45">
        <v>20</v>
      </c>
      <c r="E63" s="45">
        <v>1</v>
      </c>
      <c r="F63" s="45">
        <v>1</v>
      </c>
      <c r="G63" s="61" t="s">
        <v>229</v>
      </c>
      <c r="H63" s="65" t="s">
        <v>230</v>
      </c>
      <c r="I63" s="65" t="s">
        <v>231</v>
      </c>
      <c r="J63" s="109"/>
      <c r="K63" s="68"/>
      <c r="L63" s="68">
        <v>4</v>
      </c>
      <c r="M63" s="68" t="s">
        <v>210</v>
      </c>
      <c r="N63" s="65" t="s">
        <v>211</v>
      </c>
      <c r="O63" s="64">
        <v>1</v>
      </c>
      <c r="P63" s="65" t="s">
        <v>113</v>
      </c>
      <c r="Q63" s="49">
        <f>+L63*4*$B$82</f>
        <v>3688.96</v>
      </c>
      <c r="R63" s="60"/>
      <c r="S63" s="49">
        <f t="shared" si="19"/>
        <v>633.27146666666658</v>
      </c>
      <c r="T63" s="49">
        <f t="shared" si="20"/>
        <v>6332.7146666666667</v>
      </c>
      <c r="U63" s="49">
        <v>0</v>
      </c>
      <c r="V63" s="50">
        <v>0</v>
      </c>
      <c r="W63" s="50">
        <v>0</v>
      </c>
      <c r="X63" s="50">
        <f>(Q63+(AB63/12))*11%-AE94</f>
        <v>413.04659793650461</v>
      </c>
      <c r="Y63" s="50">
        <v>0</v>
      </c>
      <c r="Z63" s="50">
        <f t="shared" si="26"/>
        <v>70</v>
      </c>
      <c r="AA63" s="50">
        <f t="shared" si="21"/>
        <v>40</v>
      </c>
      <c r="AB63" s="69">
        <f t="shared" si="22"/>
        <v>1328.0255999999999</v>
      </c>
      <c r="AC63" s="50">
        <f t="shared" si="23"/>
        <v>58838.090908571387</v>
      </c>
      <c r="AE63" s="104">
        <f t="shared" si="24"/>
        <v>24</v>
      </c>
      <c r="AF63" s="111"/>
      <c r="AG63" s="11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</row>
    <row r="64" spans="1:46" ht="23.1" customHeight="1" x14ac:dyDescent="0.2">
      <c r="A64" s="45">
        <f t="shared" si="25"/>
        <v>54</v>
      </c>
      <c r="B64" s="45">
        <v>9</v>
      </c>
      <c r="C64" s="45">
        <v>21</v>
      </c>
      <c r="D64" s="45">
        <v>20</v>
      </c>
      <c r="E64" s="45">
        <v>1</v>
      </c>
      <c r="F64" s="45">
        <v>1</v>
      </c>
      <c r="G64" s="61" t="s">
        <v>232</v>
      </c>
      <c r="H64" s="65" t="s">
        <v>233</v>
      </c>
      <c r="I64" s="65" t="s">
        <v>234</v>
      </c>
      <c r="J64" s="109"/>
      <c r="K64" s="68"/>
      <c r="L64" s="68">
        <v>6</v>
      </c>
      <c r="M64" s="68" t="s">
        <v>210</v>
      </c>
      <c r="N64" s="65" t="s">
        <v>235</v>
      </c>
      <c r="O64" s="64">
        <v>1</v>
      </c>
      <c r="P64" s="65" t="s">
        <v>113</v>
      </c>
      <c r="Q64" s="49">
        <f>+L64*4*$B$81</f>
        <v>5077.2000000000007</v>
      </c>
      <c r="R64" s="60"/>
      <c r="S64" s="49">
        <f t="shared" si="19"/>
        <v>871.58600000000001</v>
      </c>
      <c r="T64" s="49">
        <f t="shared" si="20"/>
        <v>8715.86</v>
      </c>
      <c r="U64" s="49">
        <v>0</v>
      </c>
      <c r="V64" s="50">
        <v>0</v>
      </c>
      <c r="W64" s="50">
        <v>0</v>
      </c>
      <c r="X64" s="50">
        <f>(Q64+(AB64/12))*10%-AE94</f>
        <v>518.03902993650479</v>
      </c>
      <c r="Y64" s="50">
        <v>0</v>
      </c>
      <c r="Z64" s="50">
        <f t="shared" si="26"/>
        <v>105</v>
      </c>
      <c r="AA64" s="50">
        <f t="shared" si="21"/>
        <v>60</v>
      </c>
      <c r="AB64" s="69">
        <f t="shared" si="22"/>
        <v>1827.7919999999999</v>
      </c>
      <c r="AC64" s="50">
        <f t="shared" si="23"/>
        <v>80538.106359238052</v>
      </c>
      <c r="AE64" s="104">
        <f t="shared" si="24"/>
        <v>16</v>
      </c>
      <c r="AF64" s="111"/>
      <c r="AG64" s="11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</row>
    <row r="65" spans="1:48" s="51" customFormat="1" ht="23.1" customHeight="1" x14ac:dyDescent="0.2">
      <c r="A65" s="45">
        <f t="shared" si="25"/>
        <v>55</v>
      </c>
      <c r="B65" s="45">
        <v>9</v>
      </c>
      <c r="C65" s="45">
        <v>21</v>
      </c>
      <c r="D65" s="45">
        <v>20</v>
      </c>
      <c r="E65" s="45">
        <v>1</v>
      </c>
      <c r="F65" s="45">
        <v>1</v>
      </c>
      <c r="G65" s="61" t="s">
        <v>236</v>
      </c>
      <c r="H65" s="65" t="s">
        <v>237</v>
      </c>
      <c r="I65" s="65" t="s">
        <v>238</v>
      </c>
      <c r="J65" s="109"/>
      <c r="K65" s="68"/>
      <c r="L65" s="68">
        <v>2</v>
      </c>
      <c r="M65" s="68" t="s">
        <v>210</v>
      </c>
      <c r="N65" s="65" t="s">
        <v>211</v>
      </c>
      <c r="O65" s="64">
        <v>1</v>
      </c>
      <c r="P65" s="65" t="s">
        <v>113</v>
      </c>
      <c r="Q65" s="49">
        <f>+L65*4*$B$82</f>
        <v>1844.48</v>
      </c>
      <c r="R65" s="60"/>
      <c r="S65" s="49">
        <f t="shared" si="19"/>
        <v>316.63573333333329</v>
      </c>
      <c r="T65" s="49">
        <f t="shared" si="20"/>
        <v>3166.3573333333334</v>
      </c>
      <c r="U65" s="49">
        <v>0</v>
      </c>
      <c r="V65" s="50">
        <v>0</v>
      </c>
      <c r="W65" s="50">
        <v>0</v>
      </c>
      <c r="X65" s="50">
        <f>(Q65+(AB65/12))*21%-AE94</f>
        <v>394.04845393650464</v>
      </c>
      <c r="Y65" s="50">
        <v>0</v>
      </c>
      <c r="Z65" s="50">
        <f t="shared" si="26"/>
        <v>35</v>
      </c>
      <c r="AA65" s="50">
        <f t="shared" si="21"/>
        <v>20</v>
      </c>
      <c r="AB65" s="69">
        <f t="shared" si="22"/>
        <v>664.01279999999997</v>
      </c>
      <c r="AC65" s="50">
        <f t="shared" si="23"/>
        <v>31669.347313904724</v>
      </c>
      <c r="AD65" s="34"/>
      <c r="AE65" s="104">
        <f t="shared" si="24"/>
        <v>24</v>
      </c>
      <c r="AF65" s="111"/>
      <c r="AG65" s="111"/>
    </row>
    <row r="66" spans="1:48" ht="23.1" customHeight="1" x14ac:dyDescent="0.2">
      <c r="A66" s="45">
        <f t="shared" si="25"/>
        <v>56</v>
      </c>
      <c r="B66" s="45">
        <v>9</v>
      </c>
      <c r="C66" s="45">
        <v>21</v>
      </c>
      <c r="D66" s="45">
        <v>20</v>
      </c>
      <c r="E66" s="45">
        <v>1</v>
      </c>
      <c r="F66" s="45">
        <v>1</v>
      </c>
      <c r="G66" s="61" t="s">
        <v>239</v>
      </c>
      <c r="H66" s="65" t="s">
        <v>240</v>
      </c>
      <c r="I66" s="65" t="s">
        <v>241</v>
      </c>
      <c r="J66" s="103"/>
      <c r="K66" s="68"/>
      <c r="L66" s="68">
        <v>4</v>
      </c>
      <c r="M66" s="68" t="s">
        <v>210</v>
      </c>
      <c r="N66" s="65" t="s">
        <v>215</v>
      </c>
      <c r="O66" s="64">
        <v>1</v>
      </c>
      <c r="P66" s="65" t="s">
        <v>113</v>
      </c>
      <c r="Q66" s="49">
        <f>+L66*4*$B$83</f>
        <v>3790.56</v>
      </c>
      <c r="R66" s="60"/>
      <c r="S66" s="49">
        <f t="shared" si="19"/>
        <v>650.71280000000002</v>
      </c>
      <c r="T66" s="49">
        <f t="shared" si="20"/>
        <v>6507.1280000000006</v>
      </c>
      <c r="U66" s="49">
        <v>0</v>
      </c>
      <c r="V66" s="50">
        <v>0</v>
      </c>
      <c r="W66" s="50">
        <v>0</v>
      </c>
      <c r="X66" s="50">
        <f>(Q66+(AB66/12))*11%-AE94</f>
        <v>424.55787793650467</v>
      </c>
      <c r="Y66" s="50">
        <v>0</v>
      </c>
      <c r="Z66" s="50">
        <f t="shared" si="26"/>
        <v>70</v>
      </c>
      <c r="AA66" s="50">
        <f t="shared" si="21"/>
        <v>40</v>
      </c>
      <c r="AB66" s="69">
        <f t="shared" si="22"/>
        <v>1364.6016</v>
      </c>
      <c r="AC66" s="50">
        <f t="shared" si="23"/>
        <v>60423.856935238065</v>
      </c>
      <c r="AE66" s="104">
        <f t="shared" si="24"/>
        <v>8</v>
      </c>
      <c r="AF66" s="111"/>
      <c r="AG66" s="11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</row>
    <row r="67" spans="1:48" ht="23.1" customHeight="1" x14ac:dyDescent="0.2">
      <c r="A67" s="45">
        <f t="shared" si="25"/>
        <v>57</v>
      </c>
      <c r="B67" s="45">
        <v>9</v>
      </c>
      <c r="C67" s="45">
        <v>21</v>
      </c>
      <c r="D67" s="45">
        <v>20</v>
      </c>
      <c r="E67" s="45">
        <v>1</v>
      </c>
      <c r="F67" s="45">
        <v>1</v>
      </c>
      <c r="G67" s="61" t="s">
        <v>242</v>
      </c>
      <c r="H67" s="112" t="s">
        <v>243</v>
      </c>
      <c r="I67" s="65" t="s">
        <v>244</v>
      </c>
      <c r="J67" s="109"/>
      <c r="K67" s="68"/>
      <c r="L67" s="68">
        <v>2</v>
      </c>
      <c r="M67" s="68" t="s">
        <v>210</v>
      </c>
      <c r="N67" s="65" t="s">
        <v>211</v>
      </c>
      <c r="O67" s="64">
        <v>1</v>
      </c>
      <c r="P67" s="65" t="s">
        <v>113</v>
      </c>
      <c r="Q67" s="49">
        <f>+L67*4*$B$82</f>
        <v>1844.48</v>
      </c>
      <c r="R67" s="60"/>
      <c r="S67" s="49">
        <f t="shared" si="19"/>
        <v>316.63573333333329</v>
      </c>
      <c r="T67" s="49">
        <f t="shared" si="20"/>
        <v>3166.3573333333334</v>
      </c>
      <c r="U67" s="49">
        <v>0</v>
      </c>
      <c r="V67" s="50">
        <v>0</v>
      </c>
      <c r="W67" s="50">
        <v>0</v>
      </c>
      <c r="X67" s="50">
        <f>(Q67+(AB67/12))*21%-AE94</f>
        <v>394.04845393650464</v>
      </c>
      <c r="Y67" s="50">
        <v>0</v>
      </c>
      <c r="Z67" s="50">
        <f t="shared" si="26"/>
        <v>35</v>
      </c>
      <c r="AA67" s="50">
        <f t="shared" si="21"/>
        <v>20</v>
      </c>
      <c r="AB67" s="69">
        <f t="shared" si="22"/>
        <v>664.01279999999997</v>
      </c>
      <c r="AC67" s="50">
        <f t="shared" si="23"/>
        <v>31669.347313904724</v>
      </c>
      <c r="AE67" s="104">
        <f t="shared" si="24"/>
        <v>16</v>
      </c>
      <c r="AF67" s="111"/>
      <c r="AG67" s="11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</row>
    <row r="68" spans="1:48" s="51" customFormat="1" ht="23.1" customHeight="1" x14ac:dyDescent="0.2">
      <c r="A68" s="45">
        <f t="shared" si="25"/>
        <v>58</v>
      </c>
      <c r="B68" s="45">
        <v>9</v>
      </c>
      <c r="C68" s="45">
        <v>21</v>
      </c>
      <c r="D68" s="45">
        <v>20</v>
      </c>
      <c r="E68" s="45">
        <v>1</v>
      </c>
      <c r="F68" s="45">
        <v>1</v>
      </c>
      <c r="G68" s="61" t="s">
        <v>245</v>
      </c>
      <c r="H68" s="65" t="s">
        <v>246</v>
      </c>
      <c r="I68" s="65" t="s">
        <v>247</v>
      </c>
      <c r="J68" s="103">
        <v>38565</v>
      </c>
      <c r="K68" s="68"/>
      <c r="L68" s="68">
        <v>6</v>
      </c>
      <c r="M68" s="68" t="s">
        <v>210</v>
      </c>
      <c r="N68" s="65" t="s">
        <v>222</v>
      </c>
      <c r="O68" s="64">
        <v>1</v>
      </c>
      <c r="P68" s="65" t="s">
        <v>113</v>
      </c>
      <c r="Q68" s="49">
        <f>+L68*4*$B$84</f>
        <v>5948.64</v>
      </c>
      <c r="R68" s="60"/>
      <c r="S68" s="49">
        <f t="shared" si="19"/>
        <v>1021.1832000000002</v>
      </c>
      <c r="T68" s="49">
        <f t="shared" si="20"/>
        <v>10211.832</v>
      </c>
      <c r="U68" s="49">
        <f>(Q68+(AB68/12))/30*15</f>
        <v>3063.5496000000003</v>
      </c>
      <c r="V68" s="50">
        <f>(Q68+(AB68/12))*10.5%</f>
        <v>643.345416</v>
      </c>
      <c r="W68" s="50">
        <f>(Q68+(AB68/12))*3%</f>
        <v>183.81297600000002</v>
      </c>
      <c r="X68" s="50">
        <f>(Q68+(AB68/12))*9%-AE94</f>
        <v>546.52635793650472</v>
      </c>
      <c r="Y68" s="50">
        <f>(Q68+(AB68/12))*2%</f>
        <v>122.54198400000001</v>
      </c>
      <c r="Z68" s="50">
        <f t="shared" si="26"/>
        <v>105</v>
      </c>
      <c r="AA68" s="50">
        <f t="shared" si="21"/>
        <v>60</v>
      </c>
      <c r="AB68" s="69">
        <f t="shared" si="22"/>
        <v>2141.5104000000001</v>
      </c>
      <c r="AC68" s="50">
        <f t="shared" si="23"/>
        <v>107756.47600723806</v>
      </c>
      <c r="AD68" s="34"/>
      <c r="AE68" s="104">
        <f t="shared" si="24"/>
        <v>8</v>
      </c>
      <c r="AF68" s="111"/>
      <c r="AG68" s="111"/>
    </row>
    <row r="69" spans="1:48" ht="23.1" customHeight="1" x14ac:dyDescent="0.2">
      <c r="A69" s="45">
        <f t="shared" si="25"/>
        <v>59</v>
      </c>
      <c r="B69" s="45">
        <v>9</v>
      </c>
      <c r="C69" s="45">
        <v>21</v>
      </c>
      <c r="D69" s="45">
        <v>20</v>
      </c>
      <c r="E69" s="45">
        <v>1</v>
      </c>
      <c r="F69" s="45">
        <v>1</v>
      </c>
      <c r="G69" s="113" t="s">
        <v>248</v>
      </c>
      <c r="H69" s="65" t="s">
        <v>249</v>
      </c>
      <c r="I69" s="65" t="s">
        <v>250</v>
      </c>
      <c r="J69" s="103">
        <v>38412</v>
      </c>
      <c r="K69" s="68"/>
      <c r="L69" s="68">
        <v>6</v>
      </c>
      <c r="M69" s="68" t="s">
        <v>210</v>
      </c>
      <c r="N69" s="65" t="s">
        <v>211</v>
      </c>
      <c r="O69" s="64">
        <v>1</v>
      </c>
      <c r="P69" s="65" t="s">
        <v>113</v>
      </c>
      <c r="Q69" s="49">
        <f>+L69*4*$B$82</f>
        <v>5533.4400000000005</v>
      </c>
      <c r="R69" s="60"/>
      <c r="S69" s="49">
        <f t="shared" si="19"/>
        <v>949.9072000000001</v>
      </c>
      <c r="T69" s="49">
        <f t="shared" si="20"/>
        <v>9499.0720000000001</v>
      </c>
      <c r="U69" s="49">
        <f>(Q69+(AB69/12))/30*15</f>
        <v>2849.7216000000003</v>
      </c>
      <c r="V69" s="50">
        <f>(Q69+(AB69/12))*10.5%</f>
        <v>598.44153600000004</v>
      </c>
      <c r="W69" s="50">
        <f>(Q69+(AB69/12))*3%</f>
        <v>170.98329600000002</v>
      </c>
      <c r="X69" s="50">
        <f>(Q69+(AB69/12))*10%-AE94</f>
        <v>565.03174993650475</v>
      </c>
      <c r="Y69" s="50">
        <f>(Q69+(AB69/12))*2%</f>
        <v>113.98886400000002</v>
      </c>
      <c r="Z69" s="50">
        <f t="shared" si="26"/>
        <v>105</v>
      </c>
      <c r="AA69" s="50">
        <f t="shared" si="21"/>
        <v>60</v>
      </c>
      <c r="AB69" s="69">
        <f t="shared" si="22"/>
        <v>1992.0384000000004</v>
      </c>
      <c r="AC69" s="50">
        <f t="shared" si="23"/>
        <v>101053.36455123808</v>
      </c>
      <c r="AE69" s="104">
        <f t="shared" si="24"/>
        <v>24</v>
      </c>
      <c r="AF69" s="111"/>
      <c r="AG69" s="11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</row>
    <row r="70" spans="1:48" s="51" customFormat="1" ht="23.1" customHeight="1" x14ac:dyDescent="0.2">
      <c r="A70" s="45">
        <f t="shared" si="25"/>
        <v>60</v>
      </c>
      <c r="B70" s="45">
        <v>9</v>
      </c>
      <c r="C70" s="45">
        <v>21</v>
      </c>
      <c r="D70" s="45">
        <v>20</v>
      </c>
      <c r="E70" s="45">
        <v>1</v>
      </c>
      <c r="F70" s="45">
        <v>1</v>
      </c>
      <c r="G70" s="61" t="s">
        <v>251</v>
      </c>
      <c r="H70" s="65" t="s">
        <v>252</v>
      </c>
      <c r="I70" s="65" t="s">
        <v>253</v>
      </c>
      <c r="J70" s="109"/>
      <c r="K70" s="68"/>
      <c r="L70" s="68">
        <v>2</v>
      </c>
      <c r="M70" s="68" t="s">
        <v>210</v>
      </c>
      <c r="N70" s="65" t="s">
        <v>211</v>
      </c>
      <c r="O70" s="64">
        <v>1</v>
      </c>
      <c r="P70" s="65" t="s">
        <v>113</v>
      </c>
      <c r="Q70" s="49">
        <f>+L70*4*$B$82</f>
        <v>1844.48</v>
      </c>
      <c r="R70" s="60"/>
      <c r="S70" s="49">
        <f t="shared" si="19"/>
        <v>316.63573333333329</v>
      </c>
      <c r="T70" s="49">
        <f t="shared" si="20"/>
        <v>3166.3573333333334</v>
      </c>
      <c r="U70" s="49">
        <v>0</v>
      </c>
      <c r="V70" s="50">
        <v>0</v>
      </c>
      <c r="W70" s="50">
        <v>0</v>
      </c>
      <c r="X70" s="50">
        <f>(Q70+(AB70/12))*21%-AE94</f>
        <v>394.04845393650464</v>
      </c>
      <c r="Y70" s="50">
        <v>0</v>
      </c>
      <c r="Z70" s="50">
        <f t="shared" si="26"/>
        <v>35</v>
      </c>
      <c r="AA70" s="50">
        <f t="shared" si="21"/>
        <v>20</v>
      </c>
      <c r="AB70" s="69">
        <f t="shared" si="22"/>
        <v>664.01279999999997</v>
      </c>
      <c r="AC70" s="50">
        <f t="shared" si="23"/>
        <v>31669.347313904724</v>
      </c>
      <c r="AD70" s="34"/>
      <c r="AE70" s="104">
        <f t="shared" si="24"/>
        <v>24</v>
      </c>
      <c r="AF70" s="111"/>
      <c r="AG70" s="111"/>
    </row>
    <row r="71" spans="1:48" ht="23.1" customHeight="1" x14ac:dyDescent="0.2">
      <c r="A71" s="45">
        <f t="shared" si="25"/>
        <v>61</v>
      </c>
      <c r="B71" s="45">
        <v>9</v>
      </c>
      <c r="C71" s="45">
        <v>21</v>
      </c>
      <c r="D71" s="45">
        <v>20</v>
      </c>
      <c r="E71" s="45">
        <v>1</v>
      </c>
      <c r="F71" s="45">
        <v>1</v>
      </c>
      <c r="G71" s="61" t="s">
        <v>254</v>
      </c>
      <c r="H71" s="112" t="s">
        <v>255</v>
      </c>
      <c r="I71" s="65" t="s">
        <v>256</v>
      </c>
      <c r="J71" s="109"/>
      <c r="K71" s="68"/>
      <c r="L71" s="68">
        <v>4</v>
      </c>
      <c r="M71" s="68" t="s">
        <v>210</v>
      </c>
      <c r="N71" s="65" t="s">
        <v>211</v>
      </c>
      <c r="O71" s="64">
        <v>1</v>
      </c>
      <c r="P71" s="65" t="s">
        <v>113</v>
      </c>
      <c r="Q71" s="49">
        <f>+L71*4*$B$82</f>
        <v>3688.96</v>
      </c>
      <c r="R71" s="60"/>
      <c r="S71" s="49">
        <f t="shared" si="19"/>
        <v>633.27146666666658</v>
      </c>
      <c r="T71" s="49">
        <f t="shared" si="20"/>
        <v>6332.7146666666667</v>
      </c>
      <c r="U71" s="49">
        <v>0</v>
      </c>
      <c r="V71" s="50">
        <v>0</v>
      </c>
      <c r="W71" s="50">
        <v>0</v>
      </c>
      <c r="X71" s="50">
        <f>(Q71+(AB71/12))*14.5%-AE94</f>
        <v>546.03360593650461</v>
      </c>
      <c r="Y71" s="50">
        <v>0</v>
      </c>
      <c r="Z71" s="50">
        <f>+AE72*$AF$57+0.5</f>
        <v>70.5</v>
      </c>
      <c r="AA71" s="50">
        <f t="shared" si="21"/>
        <v>40</v>
      </c>
      <c r="AB71" s="69">
        <f t="shared" si="22"/>
        <v>1328.0255999999999</v>
      </c>
      <c r="AC71" s="50">
        <f t="shared" si="23"/>
        <v>60439.935004571387</v>
      </c>
      <c r="AE71" s="104">
        <f t="shared" si="24"/>
        <v>8</v>
      </c>
      <c r="AF71" s="111"/>
      <c r="AG71" s="11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</row>
    <row r="72" spans="1:48" ht="23.1" customHeight="1" x14ac:dyDescent="0.2">
      <c r="A72" s="45">
        <f t="shared" si="25"/>
        <v>62</v>
      </c>
      <c r="B72" s="45">
        <v>9</v>
      </c>
      <c r="C72" s="45">
        <v>21</v>
      </c>
      <c r="D72" s="45">
        <v>20</v>
      </c>
      <c r="E72" s="45">
        <v>1</v>
      </c>
      <c r="F72" s="45">
        <v>1</v>
      </c>
      <c r="G72" s="61" t="s">
        <v>257</v>
      </c>
      <c r="H72" s="65" t="s">
        <v>258</v>
      </c>
      <c r="I72" s="65" t="s">
        <v>259</v>
      </c>
      <c r="J72" s="103">
        <v>38032</v>
      </c>
      <c r="K72" s="68"/>
      <c r="L72" s="68">
        <v>3</v>
      </c>
      <c r="M72" s="68" t="s">
        <v>210</v>
      </c>
      <c r="N72" s="65" t="s">
        <v>260</v>
      </c>
      <c r="O72" s="64">
        <v>1</v>
      </c>
      <c r="P72" s="65" t="s">
        <v>113</v>
      </c>
      <c r="Q72" s="49">
        <f>+L72*4*$B$83</f>
        <v>2842.92</v>
      </c>
      <c r="R72" s="60"/>
      <c r="S72" s="49">
        <f t="shared" si="19"/>
        <v>488.03460000000001</v>
      </c>
      <c r="T72" s="49">
        <f t="shared" si="20"/>
        <v>4880.3460000000005</v>
      </c>
      <c r="U72" s="49">
        <f>(Q72+(AB72/12))/30*15</f>
        <v>1464.1038000000001</v>
      </c>
      <c r="V72" s="50">
        <f>(Q72+(AB72/12))*10.5%</f>
        <v>307.46179799999999</v>
      </c>
      <c r="W72" s="50">
        <f>(Q72+(AB72/12))*3%</f>
        <v>87.846227999999996</v>
      </c>
      <c r="X72" s="50">
        <f>(Q72+(AB72/12))*14.5%-AE94</f>
        <v>419.67753193650464</v>
      </c>
      <c r="Y72" s="50">
        <f>(Q72+(AB72/12))*2%</f>
        <v>58.564152000000007</v>
      </c>
      <c r="Z72" s="50">
        <f>+AE73*$AF$57+0.5</f>
        <v>53</v>
      </c>
      <c r="AA72" s="50">
        <f t="shared" si="21"/>
        <v>30</v>
      </c>
      <c r="AB72" s="69">
        <f t="shared" si="22"/>
        <v>1023.4512</v>
      </c>
      <c r="AC72" s="50">
        <f t="shared" si="23"/>
        <v>53449.572119238052</v>
      </c>
      <c r="AE72" s="104">
        <f t="shared" si="24"/>
        <v>16</v>
      </c>
      <c r="AF72" s="111"/>
      <c r="AG72" s="11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</row>
    <row r="73" spans="1:48" ht="23.1" customHeight="1" x14ac:dyDescent="0.2">
      <c r="A73" s="45">
        <f t="shared" si="25"/>
        <v>63</v>
      </c>
      <c r="B73" s="45">
        <v>9</v>
      </c>
      <c r="C73" s="45">
        <v>21</v>
      </c>
      <c r="D73" s="45">
        <v>20</v>
      </c>
      <c r="E73" s="45">
        <v>1</v>
      </c>
      <c r="F73" s="45">
        <v>1</v>
      </c>
      <c r="G73" s="61" t="s">
        <v>261</v>
      </c>
      <c r="H73" s="65" t="s">
        <v>262</v>
      </c>
      <c r="I73" s="65" t="s">
        <v>263</v>
      </c>
      <c r="J73" s="109"/>
      <c r="K73" s="68"/>
      <c r="L73" s="68">
        <v>6</v>
      </c>
      <c r="M73" s="68" t="s">
        <v>210</v>
      </c>
      <c r="N73" s="65" t="s">
        <v>235</v>
      </c>
      <c r="O73" s="64">
        <v>1</v>
      </c>
      <c r="P73" s="65" t="s">
        <v>113</v>
      </c>
      <c r="Q73" s="49">
        <f>+L73*4*$B$81</f>
        <v>5077.2000000000007</v>
      </c>
      <c r="R73" s="60"/>
      <c r="S73" s="49">
        <f t="shared" si="19"/>
        <v>871.58600000000001</v>
      </c>
      <c r="T73" s="49">
        <f t="shared" si="20"/>
        <v>8715.86</v>
      </c>
      <c r="U73" s="49">
        <v>0</v>
      </c>
      <c r="V73" s="50">
        <v>0</v>
      </c>
      <c r="W73" s="50">
        <v>0</v>
      </c>
      <c r="X73" s="50">
        <f>(Q73+(AB73/12))*10%-AE94</f>
        <v>518.03902993650479</v>
      </c>
      <c r="Y73" s="50">
        <v>0</v>
      </c>
      <c r="Z73" s="50">
        <f>+AE74*$AF$57</f>
        <v>105</v>
      </c>
      <c r="AA73" s="50">
        <f t="shared" si="21"/>
        <v>60</v>
      </c>
      <c r="AB73" s="69">
        <f t="shared" si="22"/>
        <v>1827.7919999999999</v>
      </c>
      <c r="AC73" s="50">
        <f t="shared" si="23"/>
        <v>80538.106359238052</v>
      </c>
      <c r="AE73" s="104">
        <f t="shared" si="24"/>
        <v>12</v>
      </c>
      <c r="AF73" s="111"/>
      <c r="AG73" s="11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</row>
    <row r="74" spans="1:48" ht="23.1" hidden="1" customHeight="1" x14ac:dyDescent="0.2">
      <c r="A74" s="45"/>
      <c r="B74" s="45"/>
      <c r="C74" s="45"/>
      <c r="D74" s="45"/>
      <c r="E74" s="45"/>
      <c r="F74" s="45"/>
      <c r="G74" s="61" t="s">
        <v>264</v>
      </c>
      <c r="H74" s="65"/>
      <c r="I74" s="65"/>
      <c r="J74" s="109"/>
      <c r="K74" s="68"/>
      <c r="L74" s="68"/>
      <c r="M74" s="68"/>
      <c r="N74" s="52"/>
      <c r="O74" s="48"/>
      <c r="P74" s="52"/>
      <c r="Q74" s="49"/>
      <c r="R74" s="60"/>
      <c r="S74" s="49"/>
      <c r="T74" s="49"/>
      <c r="U74" s="49"/>
      <c r="V74" s="50"/>
      <c r="W74" s="50"/>
      <c r="X74" s="50"/>
      <c r="Y74" s="50"/>
      <c r="Z74" s="50"/>
      <c r="AA74" s="50"/>
      <c r="AB74" s="69"/>
      <c r="AC74" s="50"/>
      <c r="AE74" s="104">
        <f t="shared" si="24"/>
        <v>24</v>
      </c>
      <c r="AF74" s="111"/>
      <c r="AG74" s="11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</row>
    <row r="75" spans="1:48" hidden="1" x14ac:dyDescent="0.2">
      <c r="B75" s="114"/>
      <c r="C75" s="114"/>
      <c r="D75" s="114"/>
      <c r="E75" s="114"/>
      <c r="F75" s="114"/>
      <c r="G75" s="114"/>
      <c r="H75" s="51"/>
      <c r="I75" s="51"/>
      <c r="J75" s="115"/>
      <c r="K75" s="116"/>
      <c r="L75" s="116"/>
      <c r="M75" s="116"/>
      <c r="N75" s="51"/>
      <c r="O75" s="51"/>
      <c r="P75" s="116"/>
      <c r="Q75" s="116"/>
      <c r="R75" s="117"/>
      <c r="S75" s="117"/>
      <c r="T75" s="117"/>
      <c r="U75" s="117"/>
      <c r="V75" s="51"/>
      <c r="W75" s="51"/>
      <c r="X75" s="51"/>
      <c r="Y75" s="51"/>
      <c r="Z75" s="51"/>
      <c r="AA75" s="51"/>
      <c r="AB75" s="51"/>
      <c r="AC75" s="51"/>
      <c r="AE75" s="104">
        <f t="shared" si="24"/>
        <v>0</v>
      </c>
      <c r="AF75" s="111"/>
      <c r="AG75" s="11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118"/>
      <c r="AV75" s="119"/>
    </row>
    <row r="76" spans="1:48" hidden="1" x14ac:dyDescent="0.2">
      <c r="B76" s="114"/>
      <c r="C76" s="114"/>
      <c r="D76" s="114"/>
      <c r="E76" s="114"/>
      <c r="F76" s="114"/>
      <c r="G76" s="114"/>
      <c r="H76" s="51"/>
      <c r="I76" s="51"/>
      <c r="J76" s="115"/>
      <c r="K76" s="116"/>
      <c r="L76" s="116"/>
      <c r="M76" s="116"/>
      <c r="N76" s="51"/>
      <c r="O76" s="51"/>
      <c r="P76" s="116"/>
      <c r="Q76" s="116"/>
      <c r="R76" s="117"/>
      <c r="S76" s="117"/>
      <c r="T76" s="117"/>
      <c r="U76" s="117"/>
      <c r="V76" s="51"/>
      <c r="W76" s="51"/>
      <c r="X76" s="51"/>
      <c r="Y76" s="51"/>
      <c r="Z76" s="51"/>
      <c r="AA76" s="51"/>
      <c r="AB76" s="51"/>
      <c r="AC76" s="51"/>
      <c r="AE76" s="116"/>
      <c r="AF76" s="116"/>
      <c r="AG76" s="116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118"/>
      <c r="AV76" s="119"/>
    </row>
    <row r="77" spans="1:48" hidden="1" x14ac:dyDescent="0.2">
      <c r="B77" s="114"/>
      <c r="C77" s="114"/>
      <c r="D77" s="114"/>
      <c r="E77" s="114"/>
      <c r="F77" s="114"/>
      <c r="G77" s="114"/>
      <c r="H77" s="51"/>
      <c r="I77" s="51"/>
      <c r="J77" s="115"/>
      <c r="K77" s="116"/>
      <c r="L77" s="116"/>
      <c r="M77" s="116"/>
      <c r="N77" s="51"/>
      <c r="O77" s="51"/>
      <c r="P77" s="116"/>
      <c r="Q77" s="116"/>
      <c r="R77" s="117"/>
      <c r="S77" s="117"/>
      <c r="T77" s="117"/>
      <c r="U77" s="117"/>
      <c r="V77" s="51"/>
      <c r="W77" s="51"/>
      <c r="X77" s="51"/>
      <c r="Y77" s="51"/>
      <c r="Z77" s="51"/>
      <c r="AA77" s="51"/>
      <c r="AB77" s="51"/>
      <c r="AC77" s="51"/>
      <c r="AE77" s="116"/>
      <c r="AF77" s="116"/>
      <c r="AG77" s="116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118"/>
      <c r="AV77" s="119"/>
    </row>
    <row r="78" spans="1:48" s="51" customFormat="1" ht="23.1" customHeight="1" x14ac:dyDescent="0.2">
      <c r="A78" s="75"/>
      <c r="B78" s="75"/>
      <c r="C78" s="75"/>
      <c r="D78" s="75"/>
      <c r="E78" s="75"/>
      <c r="F78" s="75"/>
      <c r="G78" s="75"/>
      <c r="H78" s="58"/>
      <c r="I78" s="58"/>
      <c r="J78" s="120" t="s">
        <v>265</v>
      </c>
      <c r="K78" s="120"/>
      <c r="L78" s="120"/>
      <c r="M78" s="120"/>
      <c r="N78" s="58"/>
      <c r="O78" s="121"/>
      <c r="P78" s="122" t="s">
        <v>266</v>
      </c>
      <c r="Q78" s="83">
        <f t="shared" ref="Q78:AC78" si="27">SUM(Q26:Q74)</f>
        <v>453492.14999999997</v>
      </c>
      <c r="R78" s="83">
        <f t="shared" si="27"/>
        <v>1961.9899999999998</v>
      </c>
      <c r="S78" s="83">
        <f t="shared" si="27"/>
        <v>78469.352499999979</v>
      </c>
      <c r="T78" s="83">
        <f t="shared" si="27"/>
        <v>784693.52500000037</v>
      </c>
      <c r="U78" s="83">
        <f t="shared" si="27"/>
        <v>213326.91749999995</v>
      </c>
      <c r="V78" s="83">
        <f t="shared" si="27"/>
        <v>44798.652674999983</v>
      </c>
      <c r="W78" s="83">
        <f t="shared" si="27"/>
        <v>12799.615049999999</v>
      </c>
      <c r="X78" s="83">
        <f t="shared" si="27"/>
        <v>31032.266109479217</v>
      </c>
      <c r="Y78" s="83">
        <f t="shared" si="27"/>
        <v>8533.0767000000014</v>
      </c>
      <c r="Z78" s="83">
        <f t="shared" si="27"/>
        <v>21526.5</v>
      </c>
      <c r="AA78" s="83">
        <f t="shared" si="27"/>
        <v>12300</v>
      </c>
      <c r="AB78" s="83">
        <f t="shared" si="27"/>
        <v>207887.5799999999</v>
      </c>
      <c r="AC78" s="83">
        <f t="shared" si="27"/>
        <v>8321708.3814137504</v>
      </c>
      <c r="AD78" s="34"/>
      <c r="AE78" s="123"/>
      <c r="AF78" s="116"/>
      <c r="AG78" s="116"/>
      <c r="AU78" s="118"/>
      <c r="AV78" s="118"/>
    </row>
    <row r="79" spans="1:48" s="51" customFormat="1" ht="23.1" customHeight="1" x14ac:dyDescent="0.2">
      <c r="A79" s="75"/>
      <c r="B79" s="75"/>
      <c r="C79" s="75"/>
      <c r="D79" s="75"/>
      <c r="E79" s="75"/>
      <c r="F79" s="75"/>
      <c r="G79" s="75"/>
      <c r="H79" s="58"/>
      <c r="I79" s="58"/>
      <c r="J79" s="120" t="s">
        <v>267</v>
      </c>
      <c r="K79" s="120"/>
      <c r="L79" s="120"/>
      <c r="M79" s="120"/>
      <c r="N79" s="58"/>
      <c r="O79" s="121"/>
      <c r="P79" s="122" t="s">
        <v>268</v>
      </c>
      <c r="Q79" s="83">
        <f t="shared" ref="Q79:AC79" si="28">Q78+Q24</f>
        <v>660603.08999999985</v>
      </c>
      <c r="R79" s="83">
        <f t="shared" si="28"/>
        <v>4240.4299999999994</v>
      </c>
      <c r="S79" s="83">
        <f t="shared" si="28"/>
        <v>114409.15109999999</v>
      </c>
      <c r="T79" s="83">
        <f t="shared" si="28"/>
        <v>1144091.5110000004</v>
      </c>
      <c r="U79" s="83">
        <f t="shared" si="28"/>
        <v>321146.31329999992</v>
      </c>
      <c r="V79" s="83">
        <f t="shared" si="28"/>
        <v>67440.725792999991</v>
      </c>
      <c r="W79" s="83">
        <f t="shared" si="28"/>
        <v>19268.778797999999</v>
      </c>
      <c r="X79" s="83">
        <f t="shared" si="28"/>
        <v>43290.482032399792</v>
      </c>
      <c r="Y79" s="83">
        <f t="shared" si="28"/>
        <v>12845.852532000001</v>
      </c>
      <c r="Z79" s="83">
        <f t="shared" si="28"/>
        <v>33426.5</v>
      </c>
      <c r="AA79" s="83">
        <f t="shared" si="28"/>
        <v>19100</v>
      </c>
      <c r="AB79" s="83">
        <f t="shared" si="28"/>
        <v>310221.79919999989</v>
      </c>
      <c r="AC79" s="83">
        <f t="shared" si="28"/>
        <v>12212459.084464796</v>
      </c>
      <c r="AD79" s="34"/>
      <c r="AE79" s="101"/>
    </row>
    <row r="80" spans="1:48" s="51" customFormat="1" ht="23.1" customHeight="1" x14ac:dyDescent="0.2">
      <c r="A80" s="75"/>
      <c r="B80" s="124" t="s">
        <v>269</v>
      </c>
      <c r="C80" s="75"/>
      <c r="D80" s="75"/>
      <c r="E80" s="75"/>
      <c r="F80" s="75"/>
      <c r="G80" s="75"/>
      <c r="H80" s="58"/>
      <c r="I80" s="58"/>
      <c r="J80" s="120" t="s">
        <v>270</v>
      </c>
      <c r="K80" s="120"/>
      <c r="L80" s="120"/>
      <c r="M80" s="120"/>
      <c r="N80" s="58"/>
      <c r="O80" s="121"/>
      <c r="P80" s="122" t="s">
        <v>271</v>
      </c>
      <c r="Q80" s="83">
        <f>+Q79*12</f>
        <v>7927237.0799999982</v>
      </c>
      <c r="R80" s="83">
        <f>(R24+R78)*12</f>
        <v>50885.159999999989</v>
      </c>
      <c r="S80" s="83">
        <f>S78+S25</f>
        <v>114409.15109999999</v>
      </c>
      <c r="T80" s="83">
        <f>T78+T25</f>
        <v>1144091.5110000004</v>
      </c>
      <c r="U80" s="83">
        <f>U78+U25</f>
        <v>321146.31329999992</v>
      </c>
      <c r="V80" s="83">
        <f t="shared" ref="V80:AA80" si="29">+V79*12</f>
        <v>809288.70951599989</v>
      </c>
      <c r="W80" s="83">
        <f t="shared" si="29"/>
        <v>231225.34557599999</v>
      </c>
      <c r="X80" s="83">
        <f t="shared" si="29"/>
        <v>519485.78438879747</v>
      </c>
      <c r="Y80" s="83">
        <f t="shared" si="29"/>
        <v>154150.23038399999</v>
      </c>
      <c r="Z80" s="83">
        <f t="shared" si="29"/>
        <v>401118</v>
      </c>
      <c r="AA80" s="83">
        <f t="shared" si="29"/>
        <v>229200</v>
      </c>
      <c r="AB80" s="83">
        <f>AB78+AB25</f>
        <v>310221.79919999989</v>
      </c>
      <c r="AC80" s="83">
        <f>SUM(Q80:AB80)</f>
        <v>12212459.084464796</v>
      </c>
      <c r="AD80" s="34"/>
      <c r="AE80" s="58"/>
    </row>
    <row r="81" spans="1:47" ht="22.5" customHeight="1" x14ac:dyDescent="0.2">
      <c r="A81" s="125">
        <v>81</v>
      </c>
      <c r="B81" s="114">
        <v>211.55</v>
      </c>
      <c r="C81" s="114"/>
      <c r="D81" s="114"/>
      <c r="E81" s="114"/>
      <c r="F81" s="114"/>
      <c r="G81" s="114"/>
      <c r="H81" s="51"/>
      <c r="I81" s="51"/>
      <c r="J81" s="115"/>
      <c r="K81" s="116"/>
      <c r="L81" s="116"/>
      <c r="M81" s="116"/>
      <c r="N81" s="51"/>
      <c r="O81" s="51"/>
      <c r="P81" s="116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</row>
    <row r="82" spans="1:47" ht="22.5" customHeight="1" x14ac:dyDescent="0.2">
      <c r="A82" s="125">
        <v>82</v>
      </c>
      <c r="B82" s="114">
        <v>230.56</v>
      </c>
      <c r="C82" s="114"/>
      <c r="D82" s="114"/>
      <c r="E82" s="114"/>
      <c r="F82" s="114"/>
      <c r="G82" s="114"/>
      <c r="H82" s="51"/>
      <c r="I82" s="51"/>
      <c r="J82" s="115"/>
      <c r="K82" s="116"/>
      <c r="L82" s="116"/>
      <c r="M82" s="116"/>
      <c r="N82" s="51"/>
      <c r="O82" s="51"/>
      <c r="P82" s="116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</row>
    <row r="83" spans="1:47" ht="22.5" customHeight="1" x14ac:dyDescent="0.2">
      <c r="A83" s="125">
        <v>83</v>
      </c>
      <c r="B83" s="114">
        <v>236.91</v>
      </c>
      <c r="C83" s="114"/>
      <c r="D83" s="114"/>
      <c r="E83" s="114"/>
      <c r="F83" s="114"/>
      <c r="G83" s="114"/>
      <c r="H83" s="51"/>
      <c r="I83" s="51"/>
      <c r="J83" s="115"/>
      <c r="K83" s="116"/>
      <c r="L83" s="116"/>
      <c r="M83" s="116"/>
      <c r="N83" s="51"/>
      <c r="O83" s="51"/>
      <c r="P83" s="11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</row>
    <row r="84" spans="1:47" ht="22.5" customHeight="1" x14ac:dyDescent="0.2">
      <c r="A84" s="127">
        <v>84</v>
      </c>
      <c r="B84" s="128">
        <v>247.86</v>
      </c>
      <c r="C84" s="128"/>
      <c r="D84" s="128"/>
      <c r="E84" s="128"/>
      <c r="F84" s="128"/>
      <c r="G84" s="128"/>
      <c r="H84" s="129"/>
      <c r="I84" s="129"/>
      <c r="J84" s="130"/>
      <c r="K84" s="121"/>
      <c r="L84" s="121"/>
      <c r="M84" s="121"/>
      <c r="N84" s="58"/>
      <c r="O84" s="131"/>
      <c r="P84" s="132"/>
      <c r="Q84" s="86"/>
      <c r="R84" s="117"/>
      <c r="S84" s="133"/>
      <c r="T84" s="133"/>
      <c r="U84" s="133"/>
      <c r="V84" s="134"/>
      <c r="W84" s="134"/>
      <c r="X84" s="16"/>
      <c r="Y84" s="16"/>
      <c r="Z84" s="16"/>
      <c r="AA84" s="16"/>
      <c r="AB84" s="16"/>
      <c r="AC84" s="134"/>
    </row>
    <row r="85" spans="1:47" ht="24" customHeight="1" x14ac:dyDescent="0.2">
      <c r="A85" s="135"/>
      <c r="B85" s="135"/>
      <c r="C85" s="135"/>
      <c r="D85" s="135"/>
      <c r="E85" s="135"/>
      <c r="F85" s="135"/>
      <c r="G85" s="135"/>
      <c r="H85" s="136"/>
      <c r="I85" s="129"/>
      <c r="J85" s="130"/>
      <c r="K85" s="121"/>
      <c r="L85" s="121"/>
      <c r="M85" s="121"/>
      <c r="N85" s="58"/>
      <c r="O85" s="132"/>
      <c r="P85" s="137"/>
      <c r="Q85" s="86"/>
      <c r="R85" s="117"/>
    </row>
    <row r="86" spans="1:47" ht="24" customHeight="1" x14ac:dyDescent="0.2">
      <c r="A86" s="135"/>
      <c r="B86" s="135"/>
      <c r="C86" s="135"/>
      <c r="D86" s="135"/>
      <c r="E86" s="135"/>
      <c r="F86" s="135"/>
      <c r="G86" s="138"/>
      <c r="H86" s="138"/>
      <c r="I86" s="138"/>
      <c r="J86" s="138"/>
      <c r="K86" s="138"/>
      <c r="L86" s="121"/>
      <c r="M86" s="121"/>
      <c r="N86" s="58"/>
      <c r="O86" s="132"/>
      <c r="P86" s="139"/>
      <c r="Q86" s="121"/>
      <c r="R86" s="117"/>
      <c r="X86" s="140"/>
      <c r="AA86" s="24"/>
    </row>
    <row r="87" spans="1:47" ht="24" hidden="1" customHeight="1" x14ac:dyDescent="0.2">
      <c r="A87" s="141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16"/>
      <c r="M87" s="116"/>
      <c r="N87" s="51"/>
      <c r="O87" s="142"/>
      <c r="P87" s="143"/>
      <c r="Q87" s="116"/>
      <c r="R87" s="117"/>
      <c r="AA87" s="140"/>
    </row>
    <row r="88" spans="1:47" ht="24" hidden="1" customHeight="1" x14ac:dyDescent="0.2">
      <c r="A88" s="138"/>
      <c r="B88" s="144" t="s">
        <v>272</v>
      </c>
      <c r="C88" s="144"/>
      <c r="D88" s="144"/>
      <c r="E88" s="144"/>
      <c r="F88" s="138"/>
      <c r="G88" s="138"/>
      <c r="H88" s="145" t="s">
        <v>273</v>
      </c>
      <c r="I88" s="138"/>
      <c r="J88" s="138"/>
      <c r="K88" s="138"/>
      <c r="L88" s="116"/>
      <c r="M88" s="116"/>
      <c r="N88" s="51"/>
      <c r="O88" s="142"/>
      <c r="P88" s="116"/>
      <c r="Q88" s="116"/>
      <c r="R88" s="117"/>
    </row>
    <row r="89" spans="1:47" ht="24" hidden="1" customHeight="1" x14ac:dyDescent="0.2">
      <c r="A89" s="138"/>
      <c r="B89" s="144" t="s">
        <v>274</v>
      </c>
      <c r="C89" s="144"/>
      <c r="D89" s="144"/>
      <c r="E89" s="144"/>
      <c r="F89" s="138"/>
      <c r="G89" s="138"/>
      <c r="H89" s="138" t="s">
        <v>275</v>
      </c>
      <c r="I89" s="138"/>
      <c r="J89" s="138"/>
      <c r="K89" s="138"/>
      <c r="L89" s="116"/>
      <c r="M89" s="116"/>
      <c r="N89" s="51"/>
      <c r="O89" s="51"/>
      <c r="P89" s="143"/>
      <c r="Q89" s="116"/>
      <c r="R89" s="117"/>
    </row>
    <row r="90" spans="1:47" ht="24" hidden="1" customHeight="1" x14ac:dyDescent="0.2">
      <c r="A90" s="138"/>
      <c r="B90" s="146">
        <v>63.29</v>
      </c>
      <c r="C90" s="146"/>
      <c r="D90" s="146"/>
      <c r="E90" s="146"/>
      <c r="F90" s="138"/>
      <c r="G90" s="138"/>
      <c r="H90" s="138" t="s">
        <v>276</v>
      </c>
      <c r="I90" s="138"/>
      <c r="J90" s="138"/>
      <c r="K90" s="138"/>
      <c r="L90" s="116"/>
      <c r="M90" s="116"/>
      <c r="N90" s="51"/>
      <c r="O90" s="51"/>
      <c r="P90" s="147"/>
      <c r="Q90" s="142"/>
      <c r="R90" s="117"/>
    </row>
    <row r="91" spans="1:47" ht="24" hidden="1" customHeight="1" x14ac:dyDescent="0.2">
      <c r="A91" s="138"/>
      <c r="B91" s="138"/>
      <c r="C91" s="138" t="s">
        <v>277</v>
      </c>
      <c r="D91" s="138"/>
      <c r="E91" s="138"/>
      <c r="F91" s="138"/>
      <c r="G91" s="138"/>
      <c r="H91" s="138"/>
      <c r="I91" s="138"/>
      <c r="J91" s="138"/>
      <c r="K91" s="138"/>
      <c r="L91" s="116"/>
      <c r="M91" s="116"/>
      <c r="N91" s="51"/>
      <c r="O91" s="51"/>
      <c r="P91" s="148"/>
      <c r="Q91" s="116"/>
      <c r="R91" s="149"/>
    </row>
    <row r="92" spans="1:47" ht="24" hidden="1" customHeight="1" x14ac:dyDescent="0.2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16"/>
      <c r="M92" s="116"/>
      <c r="N92" s="51"/>
      <c r="O92" s="51"/>
      <c r="P92" s="148"/>
      <c r="Q92" s="116"/>
      <c r="R92" s="149"/>
    </row>
    <row r="93" spans="1:47" ht="24" customHeight="1" x14ac:dyDescent="0.2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16"/>
      <c r="M93" s="116"/>
      <c r="N93" s="51"/>
      <c r="O93" s="51"/>
      <c r="P93" s="142"/>
      <c r="Q93" s="142"/>
      <c r="R93" s="117"/>
      <c r="AE93" s="5">
        <f>+AE95/63</f>
        <v>58.950840761944171</v>
      </c>
    </row>
    <row r="94" spans="1:47" ht="24" customHeight="1" x14ac:dyDescent="0.2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16"/>
      <c r="M94" s="116"/>
      <c r="N94" s="51"/>
      <c r="O94" s="51"/>
      <c r="P94" s="142"/>
      <c r="Q94" s="142"/>
      <c r="R94" s="117"/>
      <c r="AE94" s="5">
        <f>+AE93/12</f>
        <v>4.9125700634953473</v>
      </c>
    </row>
    <row r="95" spans="1:47" ht="24" customHeight="1" x14ac:dyDescent="0.2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16"/>
      <c r="M95" s="116"/>
      <c r="N95" s="51"/>
      <c r="O95" s="51"/>
      <c r="P95" s="142"/>
      <c r="Q95" s="142"/>
      <c r="R95" s="117"/>
      <c r="AE95" s="5">
        <v>3713.9029680024828</v>
      </c>
    </row>
    <row r="96" spans="1:47" ht="24" customHeight="1" x14ac:dyDescent="0.2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16"/>
      <c r="M96" s="116"/>
      <c r="N96" s="51"/>
      <c r="O96" s="51"/>
      <c r="P96" s="116"/>
      <c r="Q96" s="116"/>
      <c r="R96" s="117"/>
    </row>
    <row r="97" spans="1:18" ht="24" customHeight="1" x14ac:dyDescent="0.2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16"/>
      <c r="M97" s="116"/>
      <c r="N97" s="51"/>
      <c r="O97" s="51"/>
      <c r="P97" s="116"/>
      <c r="Q97" s="116"/>
      <c r="R97" s="117"/>
    </row>
    <row r="98" spans="1:18" ht="24" customHeight="1" x14ac:dyDescent="0.2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16"/>
      <c r="M98" s="116"/>
      <c r="N98" s="51"/>
      <c r="O98" s="51"/>
      <c r="P98" s="116"/>
      <c r="Q98" s="116"/>
      <c r="R98" s="117"/>
    </row>
    <row r="99" spans="1:18" ht="24" customHeight="1" x14ac:dyDescent="0.2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16"/>
      <c r="M99" s="116"/>
      <c r="N99" s="51"/>
      <c r="O99" s="51"/>
      <c r="P99" s="116"/>
      <c r="Q99" s="116"/>
      <c r="R99" s="117"/>
    </row>
    <row r="100" spans="1:18" ht="24" customHeight="1" x14ac:dyDescent="0.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16"/>
      <c r="M100" s="116"/>
      <c r="N100" s="51"/>
      <c r="O100" s="51"/>
      <c r="P100" s="116"/>
      <c r="Q100" s="116"/>
      <c r="R100" s="117"/>
    </row>
    <row r="101" spans="1:18" ht="24" customHeight="1" x14ac:dyDescent="0.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16"/>
      <c r="M101" s="116"/>
      <c r="N101" s="51"/>
      <c r="O101" s="51"/>
      <c r="P101" s="116"/>
      <c r="Q101" s="116"/>
      <c r="R101" s="117"/>
    </row>
    <row r="102" spans="1:18" ht="24" customHeight="1" x14ac:dyDescent="0.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16"/>
      <c r="M102" s="116"/>
      <c r="N102" s="51"/>
      <c r="O102" s="51"/>
      <c r="P102" s="116"/>
      <c r="Q102" s="116"/>
      <c r="R102" s="117"/>
    </row>
    <row r="103" spans="1:18" ht="24" customHeight="1" x14ac:dyDescent="0.2">
      <c r="A103" s="138"/>
      <c r="B103" s="138"/>
      <c r="C103" s="138"/>
      <c r="D103" s="138"/>
      <c r="E103" s="138"/>
      <c r="F103" s="138"/>
      <c r="G103" s="138"/>
      <c r="H103" s="150"/>
      <c r="I103" s="150"/>
      <c r="J103" s="151"/>
      <c r="K103" s="116"/>
      <c r="L103" s="116"/>
      <c r="M103" s="116"/>
      <c r="N103" s="51"/>
      <c r="O103" s="51"/>
      <c r="P103" s="116"/>
      <c r="Q103" s="116"/>
      <c r="R103" s="117"/>
    </row>
    <row r="104" spans="1:18" ht="24" customHeight="1" x14ac:dyDescent="0.2">
      <c r="A104" s="138"/>
      <c r="B104" s="138"/>
      <c r="C104" s="138"/>
      <c r="D104" s="138"/>
      <c r="E104" s="138"/>
      <c r="F104" s="138"/>
      <c r="G104" s="138"/>
      <c r="H104" s="150"/>
      <c r="I104" s="150"/>
      <c r="J104" s="151"/>
      <c r="K104" s="116"/>
      <c r="L104" s="116"/>
      <c r="M104" s="116"/>
      <c r="N104" s="51"/>
      <c r="O104" s="51"/>
      <c r="P104" s="116"/>
      <c r="Q104" s="116"/>
      <c r="R104" s="117"/>
    </row>
    <row r="105" spans="1:18" ht="24" customHeight="1" x14ac:dyDescent="0.2">
      <c r="A105" s="138"/>
      <c r="B105" s="138"/>
      <c r="C105" s="138"/>
      <c r="D105" s="138"/>
      <c r="E105" s="138"/>
      <c r="F105" s="138"/>
      <c r="G105" s="138"/>
      <c r="H105" s="150"/>
      <c r="I105" s="150"/>
      <c r="J105" s="151"/>
      <c r="K105" s="116"/>
      <c r="L105" s="116"/>
      <c r="M105" s="116"/>
      <c r="N105" s="51"/>
      <c r="O105" s="51"/>
      <c r="P105" s="116"/>
      <c r="Q105" s="116"/>
      <c r="R105" s="117"/>
    </row>
    <row r="106" spans="1:18" ht="24" customHeight="1" x14ac:dyDescent="0.2">
      <c r="A106" s="138"/>
      <c r="B106" s="138"/>
      <c r="C106" s="138"/>
      <c r="D106" s="138"/>
      <c r="E106" s="138"/>
      <c r="F106" s="138"/>
      <c r="G106" s="138"/>
      <c r="H106" s="150"/>
      <c r="I106" s="150"/>
      <c r="J106" s="151"/>
      <c r="K106" s="116"/>
      <c r="L106" s="116"/>
      <c r="M106" s="116"/>
      <c r="N106" s="51"/>
      <c r="O106" s="51"/>
      <c r="P106" s="116"/>
      <c r="Q106" s="116"/>
      <c r="R106" s="117"/>
    </row>
    <row r="107" spans="1:18" ht="24" customHeight="1" x14ac:dyDescent="0.2">
      <c r="A107" s="138"/>
      <c r="B107" s="138"/>
      <c r="C107" s="138"/>
      <c r="D107" s="138"/>
      <c r="E107" s="138"/>
      <c r="F107" s="138"/>
      <c r="G107" s="138"/>
      <c r="H107" s="150"/>
      <c r="I107" s="150"/>
      <c r="J107" s="151"/>
      <c r="K107" s="116"/>
      <c r="L107" s="116"/>
      <c r="M107" s="116"/>
      <c r="N107" s="51"/>
      <c r="O107" s="51"/>
      <c r="P107" s="116"/>
      <c r="Q107" s="116"/>
      <c r="R107" s="117"/>
    </row>
    <row r="108" spans="1:18" ht="24" customHeight="1" x14ac:dyDescent="0.2">
      <c r="A108" s="138"/>
      <c r="B108" s="138"/>
      <c r="C108" s="138"/>
      <c r="D108" s="138"/>
      <c r="E108" s="138"/>
      <c r="F108" s="138"/>
      <c r="G108" s="138"/>
      <c r="H108" s="150"/>
      <c r="I108" s="150"/>
      <c r="J108" s="151"/>
      <c r="K108" s="116"/>
      <c r="L108" s="116"/>
      <c r="M108" s="116"/>
      <c r="N108" s="51"/>
      <c r="O108" s="51"/>
      <c r="P108" s="116"/>
      <c r="Q108" s="116"/>
      <c r="R108" s="117"/>
    </row>
    <row r="109" spans="1:18" ht="24" customHeight="1" x14ac:dyDescent="0.2">
      <c r="A109" s="138"/>
      <c r="B109" s="138"/>
      <c r="C109" s="138"/>
      <c r="D109" s="138"/>
      <c r="E109" s="138"/>
      <c r="F109" s="138"/>
      <c r="G109" s="138"/>
      <c r="H109" s="150"/>
      <c r="I109" s="150"/>
      <c r="J109" s="151"/>
      <c r="K109" s="116"/>
      <c r="L109" s="116"/>
      <c r="M109" s="116"/>
      <c r="N109" s="51"/>
      <c r="O109" s="51"/>
      <c r="P109" s="116"/>
      <c r="Q109" s="116"/>
      <c r="R109" s="117"/>
    </row>
    <row r="110" spans="1:18" ht="24" customHeight="1" x14ac:dyDescent="0.2">
      <c r="A110" s="138"/>
      <c r="B110" s="138"/>
      <c r="C110" s="138"/>
      <c r="D110" s="138"/>
      <c r="E110" s="138"/>
      <c r="F110" s="138"/>
      <c r="G110" s="138"/>
      <c r="H110" s="150"/>
      <c r="I110" s="150"/>
      <c r="J110" s="151"/>
      <c r="K110" s="116"/>
      <c r="L110" s="116"/>
      <c r="M110" s="116"/>
      <c r="N110" s="51"/>
      <c r="O110" s="51"/>
      <c r="P110" s="116"/>
      <c r="Q110" s="116"/>
      <c r="R110" s="117"/>
    </row>
    <row r="111" spans="1:18" ht="24" customHeight="1" x14ac:dyDescent="0.2">
      <c r="A111" s="138"/>
      <c r="B111" s="138"/>
      <c r="C111" s="138"/>
      <c r="D111" s="138"/>
      <c r="E111" s="138"/>
      <c r="F111" s="138"/>
      <c r="G111" s="138"/>
      <c r="H111" s="150"/>
      <c r="I111" s="150"/>
      <c r="J111" s="151"/>
      <c r="K111" s="116"/>
      <c r="L111" s="116"/>
      <c r="M111" s="116"/>
      <c r="N111" s="51"/>
      <c r="O111" s="51"/>
      <c r="P111" s="116"/>
      <c r="Q111" s="116"/>
      <c r="R111" s="117"/>
    </row>
    <row r="112" spans="1:18" ht="24" customHeight="1" x14ac:dyDescent="0.2">
      <c r="A112" s="138"/>
      <c r="B112" s="138"/>
      <c r="C112" s="138"/>
      <c r="D112" s="138"/>
      <c r="E112" s="138"/>
      <c r="F112" s="138"/>
      <c r="G112" s="138"/>
      <c r="H112" s="150"/>
      <c r="I112" s="150"/>
      <c r="J112" s="151"/>
      <c r="K112" s="116"/>
      <c r="L112" s="116"/>
      <c r="M112" s="116"/>
      <c r="N112" s="51"/>
      <c r="O112" s="51"/>
      <c r="P112" s="116"/>
      <c r="Q112" s="116"/>
      <c r="R112" s="117"/>
    </row>
    <row r="113" spans="1:18" ht="24" customHeight="1" x14ac:dyDescent="0.2">
      <c r="A113" s="5"/>
      <c r="B113" s="5"/>
      <c r="C113" s="5"/>
      <c r="D113" s="5"/>
      <c r="E113" s="5"/>
      <c r="F113" s="5"/>
      <c r="G113" s="5"/>
      <c r="I113" s="150"/>
      <c r="J113" s="151"/>
      <c r="K113" s="116"/>
      <c r="L113" s="116"/>
      <c r="M113" s="116"/>
      <c r="N113" s="51"/>
      <c r="O113" s="51"/>
      <c r="P113" s="116"/>
      <c r="Q113" s="116"/>
      <c r="R113" s="117"/>
    </row>
    <row r="114" spans="1:18" ht="24" customHeight="1" x14ac:dyDescent="0.2">
      <c r="A114" s="5"/>
      <c r="B114" s="5"/>
      <c r="C114" s="5"/>
      <c r="D114" s="5"/>
      <c r="E114" s="5"/>
      <c r="F114" s="5"/>
      <c r="G114" s="5"/>
      <c r="I114" s="150"/>
      <c r="J114" s="151"/>
      <c r="K114" s="116"/>
      <c r="L114" s="116"/>
      <c r="M114" s="116"/>
      <c r="N114" s="51"/>
      <c r="O114" s="51"/>
      <c r="P114" s="116"/>
      <c r="Q114" s="152"/>
      <c r="R114" s="117"/>
    </row>
    <row r="115" spans="1:18" ht="24" customHeight="1" x14ac:dyDescent="0.2">
      <c r="A115" s="5"/>
      <c r="B115" s="5"/>
      <c r="C115" s="5"/>
      <c r="D115" s="5"/>
      <c r="E115" s="5"/>
      <c r="F115" s="5"/>
      <c r="G115" s="5"/>
      <c r="I115" s="150"/>
      <c r="J115" s="151"/>
    </row>
    <row r="116" spans="1:18" ht="24" customHeight="1" x14ac:dyDescent="0.2">
      <c r="A116" s="5"/>
      <c r="B116" s="5"/>
      <c r="C116" s="5"/>
      <c r="D116" s="5"/>
      <c r="E116" s="5"/>
      <c r="F116" s="5"/>
      <c r="G116" s="5"/>
      <c r="I116" s="150"/>
      <c r="J116" s="151"/>
    </row>
    <row r="117" spans="1:18" ht="24" customHeight="1" x14ac:dyDescent="0.2">
      <c r="A117" s="5"/>
      <c r="B117" s="5"/>
      <c r="C117" s="5"/>
      <c r="D117" s="5"/>
      <c r="E117" s="5"/>
      <c r="F117" s="5"/>
      <c r="G117" s="5"/>
      <c r="I117" s="150"/>
      <c r="J117" s="151"/>
    </row>
    <row r="118" spans="1:18" ht="24" customHeight="1" x14ac:dyDescent="0.2">
      <c r="A118" s="5"/>
      <c r="B118" s="5"/>
      <c r="C118" s="5"/>
      <c r="D118" s="5"/>
      <c r="E118" s="5"/>
      <c r="F118" s="5"/>
      <c r="G118" s="5"/>
      <c r="I118" s="150"/>
      <c r="J118" s="151"/>
    </row>
    <row r="119" spans="1:18" x14ac:dyDescent="0.2">
      <c r="A119" s="138"/>
      <c r="B119" s="138"/>
      <c r="C119" s="138"/>
      <c r="D119" s="138"/>
      <c r="E119" s="138"/>
      <c r="F119" s="138"/>
      <c r="G119" s="138"/>
      <c r="H119" s="150"/>
      <c r="I119" s="150"/>
      <c r="J119" s="151"/>
    </row>
    <row r="120" spans="1:18" x14ac:dyDescent="0.2">
      <c r="A120" s="138"/>
      <c r="B120" s="138"/>
      <c r="C120" s="138"/>
      <c r="D120" s="138"/>
      <c r="E120" s="138"/>
      <c r="F120" s="138"/>
      <c r="G120" s="138"/>
      <c r="H120" s="150"/>
      <c r="I120" s="150"/>
      <c r="J120" s="151"/>
    </row>
    <row r="121" spans="1:18" ht="23.25" x14ac:dyDescent="0.2">
      <c r="A121" s="138"/>
      <c r="B121" s="138"/>
      <c r="C121" s="138"/>
      <c r="D121" s="138"/>
      <c r="E121" s="138"/>
      <c r="F121" s="138"/>
      <c r="G121" s="138"/>
      <c r="H121" s="150"/>
      <c r="I121" s="150"/>
      <c r="J121" s="153"/>
    </row>
    <row r="122" spans="1:18" x14ac:dyDescent="0.2">
      <c r="A122" s="138"/>
      <c r="B122" s="138"/>
      <c r="C122" s="138"/>
      <c r="D122" s="138"/>
      <c r="E122" s="138"/>
      <c r="F122" s="138"/>
      <c r="G122" s="138"/>
      <c r="H122" s="150"/>
      <c r="I122" s="150"/>
      <c r="J122" s="151"/>
    </row>
    <row r="123" spans="1:18" x14ac:dyDescent="0.2">
      <c r="A123" s="138"/>
      <c r="B123" s="138"/>
      <c r="C123" s="138"/>
      <c r="D123" s="138"/>
      <c r="E123" s="138"/>
      <c r="F123" s="138"/>
      <c r="G123" s="138"/>
      <c r="H123" s="150"/>
      <c r="I123" s="150"/>
      <c r="J123" s="151"/>
    </row>
    <row r="124" spans="1:18" x14ac:dyDescent="0.2">
      <c r="A124" s="138"/>
      <c r="B124" s="138"/>
      <c r="C124" s="138"/>
      <c r="D124" s="138"/>
      <c r="E124" s="138"/>
      <c r="F124" s="138"/>
      <c r="G124" s="138"/>
      <c r="H124" s="150"/>
      <c r="I124" s="150"/>
      <c r="J124" s="151"/>
    </row>
    <row r="125" spans="1:18" x14ac:dyDescent="0.2">
      <c r="A125" s="138"/>
      <c r="B125" s="138"/>
      <c r="C125" s="138"/>
      <c r="D125" s="138"/>
      <c r="E125" s="138"/>
      <c r="F125" s="138"/>
      <c r="G125" s="138"/>
      <c r="H125" s="150"/>
      <c r="I125" s="150"/>
      <c r="J125" s="151"/>
    </row>
    <row r="126" spans="1:18" x14ac:dyDescent="0.2">
      <c r="A126" s="138"/>
      <c r="B126" s="138"/>
      <c r="C126" s="138"/>
      <c r="D126" s="138"/>
      <c r="E126" s="138"/>
      <c r="F126" s="138"/>
      <c r="G126" s="138"/>
      <c r="H126" s="150"/>
      <c r="I126" s="150"/>
      <c r="J126" s="151"/>
    </row>
    <row r="127" spans="1:18" x14ac:dyDescent="0.2">
      <c r="A127" s="138"/>
      <c r="B127" s="138"/>
      <c r="C127" s="138"/>
      <c r="D127" s="138"/>
      <c r="E127" s="138"/>
      <c r="F127" s="138"/>
      <c r="G127" s="138"/>
      <c r="H127" s="150"/>
      <c r="I127" s="150"/>
      <c r="J127" s="151"/>
    </row>
    <row r="128" spans="1:18" x14ac:dyDescent="0.2">
      <c r="A128" s="138"/>
      <c r="B128" s="138"/>
      <c r="C128" s="138"/>
      <c r="D128" s="138"/>
      <c r="E128" s="138"/>
      <c r="F128" s="138"/>
      <c r="G128" s="138"/>
      <c r="H128" s="150"/>
      <c r="I128" s="150"/>
      <c r="J128" s="151"/>
    </row>
    <row r="129" spans="1:16" x14ac:dyDescent="0.2">
      <c r="A129" s="138"/>
      <c r="B129" s="138"/>
      <c r="C129" s="138"/>
      <c r="D129" s="138"/>
      <c r="E129" s="138"/>
      <c r="F129" s="138"/>
      <c r="G129" s="138"/>
      <c r="H129" s="150"/>
      <c r="I129" s="150"/>
      <c r="J129" s="151"/>
    </row>
    <row r="130" spans="1:16" x14ac:dyDescent="0.2">
      <c r="A130" s="138"/>
      <c r="B130" s="138"/>
      <c r="C130" s="138"/>
      <c r="D130" s="138"/>
      <c r="E130" s="138"/>
      <c r="F130" s="138"/>
      <c r="G130" s="138"/>
      <c r="H130" s="150"/>
      <c r="I130" s="150"/>
      <c r="J130" s="151"/>
    </row>
    <row r="131" spans="1:16" x14ac:dyDescent="0.2">
      <c r="A131" s="138"/>
      <c r="B131" s="138"/>
      <c r="C131" s="138"/>
      <c r="D131" s="138"/>
      <c r="E131" s="138"/>
      <c r="F131" s="138"/>
      <c r="G131" s="138"/>
      <c r="H131" s="150"/>
      <c r="I131" s="150"/>
      <c r="J131" s="151"/>
    </row>
    <row r="132" spans="1:16" x14ac:dyDescent="0.2">
      <c r="A132" s="138"/>
      <c r="B132" s="138"/>
      <c r="C132" s="138"/>
      <c r="D132" s="138"/>
      <c r="E132" s="138"/>
      <c r="F132" s="138"/>
      <c r="G132" s="138"/>
      <c r="H132" s="150"/>
      <c r="I132" s="150"/>
      <c r="J132" s="151"/>
    </row>
    <row r="133" spans="1:16" x14ac:dyDescent="0.2">
      <c r="A133" s="138"/>
      <c r="B133" s="138"/>
      <c r="C133" s="138"/>
      <c r="D133" s="138"/>
      <c r="E133" s="138"/>
      <c r="F133" s="138"/>
      <c r="G133" s="138"/>
      <c r="H133" s="150"/>
      <c r="I133" s="150"/>
      <c r="J133" s="151"/>
    </row>
    <row r="134" spans="1:16" x14ac:dyDescent="0.2">
      <c r="A134" s="138"/>
      <c r="B134" s="138"/>
      <c r="C134" s="138"/>
      <c r="D134" s="138"/>
      <c r="E134" s="138"/>
      <c r="F134" s="138"/>
      <c r="G134" s="138"/>
      <c r="H134" s="150"/>
      <c r="I134" s="150"/>
      <c r="J134" s="151"/>
    </row>
    <row r="135" spans="1:16" x14ac:dyDescent="0.2">
      <c r="A135" s="138"/>
      <c r="B135" s="138"/>
      <c r="C135" s="138"/>
      <c r="D135" s="138"/>
      <c r="E135" s="138"/>
      <c r="F135" s="138"/>
      <c r="G135" s="138"/>
      <c r="H135" s="150"/>
      <c r="I135" s="150"/>
      <c r="J135" s="151"/>
    </row>
    <row r="136" spans="1:16" x14ac:dyDescent="0.2">
      <c r="A136" s="138"/>
      <c r="B136" s="138"/>
      <c r="C136" s="138"/>
      <c r="D136" s="138"/>
      <c r="E136" s="138"/>
      <c r="F136" s="138"/>
      <c r="G136" s="138"/>
      <c r="H136" s="150"/>
      <c r="I136" s="150"/>
      <c r="J136" s="151"/>
    </row>
    <row r="137" spans="1:16" x14ac:dyDescent="0.2">
      <c r="A137" s="138"/>
      <c r="B137" s="138"/>
      <c r="C137" s="138"/>
      <c r="D137" s="138"/>
      <c r="E137" s="138"/>
      <c r="F137" s="138"/>
      <c r="G137" s="138"/>
      <c r="H137" s="150"/>
      <c r="I137" s="150"/>
      <c r="J137" s="151"/>
    </row>
    <row r="138" spans="1:16" x14ac:dyDescent="0.2">
      <c r="J138" s="151"/>
    </row>
    <row r="139" spans="1:16" x14ac:dyDescent="0.2">
      <c r="J139" s="151"/>
    </row>
    <row r="140" spans="1:16" ht="23.25" x14ac:dyDescent="0.2">
      <c r="A140" s="154"/>
      <c r="B140" s="154"/>
      <c r="C140" s="155"/>
      <c r="D140" s="155"/>
      <c r="E140" s="156"/>
      <c r="F140" s="157"/>
      <c r="G140" s="157"/>
      <c r="H140" s="157"/>
      <c r="I140" s="157"/>
      <c r="J140" s="151"/>
    </row>
    <row r="141" spans="1:16" x14ac:dyDescent="0.2">
      <c r="A141" s="138"/>
      <c r="B141" s="138"/>
      <c r="C141" s="138"/>
      <c r="D141" s="138"/>
      <c r="E141" s="138"/>
      <c r="F141" s="138"/>
      <c r="G141" s="138"/>
      <c r="H141" s="150"/>
      <c r="I141" s="150"/>
      <c r="J141" s="151"/>
    </row>
    <row r="142" spans="1:16" x14ac:dyDescent="0.2">
      <c r="A142" s="138"/>
      <c r="B142" s="138"/>
      <c r="C142" s="138"/>
      <c r="D142" s="138"/>
      <c r="E142" s="138"/>
      <c r="F142" s="138"/>
      <c r="G142" s="138"/>
      <c r="H142" s="150"/>
      <c r="I142" s="150"/>
      <c r="J142" s="151"/>
    </row>
    <row r="143" spans="1:16" ht="18" x14ac:dyDescent="0.2">
      <c r="A143" s="138"/>
      <c r="B143" s="138"/>
      <c r="C143" s="138"/>
      <c r="D143" s="138"/>
      <c r="E143" s="138"/>
      <c r="F143" s="138"/>
      <c r="G143" s="138"/>
      <c r="H143" s="150"/>
      <c r="I143" s="150"/>
      <c r="O143" s="158"/>
      <c r="P143" s="159"/>
    </row>
    <row r="144" spans="1:16" ht="18" x14ac:dyDescent="0.2">
      <c r="A144" s="138"/>
      <c r="B144" s="138"/>
      <c r="C144" s="138"/>
      <c r="D144" s="138"/>
      <c r="E144" s="138"/>
      <c r="F144" s="138"/>
      <c r="G144" s="138"/>
      <c r="H144" s="150"/>
      <c r="I144" s="150"/>
      <c r="O144" s="158"/>
      <c r="P144" s="159"/>
    </row>
    <row r="145" spans="1:9" x14ac:dyDescent="0.2">
      <c r="A145" s="138"/>
      <c r="B145" s="138"/>
      <c r="C145" s="138"/>
      <c r="D145" s="138"/>
      <c r="E145" s="138"/>
      <c r="F145" s="138"/>
      <c r="G145" s="138"/>
      <c r="H145" s="150"/>
      <c r="I145" s="150"/>
    </row>
    <row r="146" spans="1:9" x14ac:dyDescent="0.2">
      <c r="A146" s="138"/>
      <c r="B146" s="138"/>
      <c r="C146" s="138"/>
      <c r="D146" s="138"/>
      <c r="E146" s="138"/>
      <c r="F146" s="138"/>
      <c r="G146" s="138"/>
      <c r="H146" s="150"/>
      <c r="I146" s="150"/>
    </row>
    <row r="147" spans="1:9" x14ac:dyDescent="0.2">
      <c r="A147" s="138"/>
      <c r="B147" s="138"/>
      <c r="C147" s="138"/>
      <c r="D147" s="138"/>
      <c r="E147" s="138"/>
      <c r="F147" s="138"/>
      <c r="G147" s="138"/>
      <c r="H147" s="150"/>
      <c r="I147" s="150"/>
    </row>
    <row r="148" spans="1:9" x14ac:dyDescent="0.2">
      <c r="A148" s="138"/>
      <c r="B148" s="138"/>
      <c r="C148" s="138"/>
      <c r="D148" s="138"/>
      <c r="E148" s="138"/>
      <c r="F148" s="138"/>
      <c r="G148" s="138"/>
      <c r="H148" s="150"/>
      <c r="I148" s="150"/>
    </row>
    <row r="149" spans="1:9" x14ac:dyDescent="0.2">
      <c r="A149" s="138"/>
      <c r="B149" s="138"/>
      <c r="C149" s="138"/>
      <c r="D149" s="138"/>
      <c r="E149" s="138"/>
      <c r="F149" s="138"/>
      <c r="G149" s="138"/>
      <c r="H149" s="150"/>
      <c r="I149" s="150"/>
    </row>
    <row r="150" spans="1:9" x14ac:dyDescent="0.2">
      <c r="A150" s="138"/>
      <c r="B150" s="138"/>
      <c r="C150" s="138"/>
      <c r="D150" s="138"/>
      <c r="E150" s="138"/>
      <c r="F150" s="138"/>
      <c r="G150" s="138"/>
      <c r="H150" s="150"/>
      <c r="I150" s="150"/>
    </row>
    <row r="151" spans="1:9" x14ac:dyDescent="0.2">
      <c r="A151" s="138"/>
      <c r="B151" s="138"/>
      <c r="C151" s="138"/>
      <c r="D151" s="138"/>
      <c r="E151" s="138"/>
      <c r="F151" s="138"/>
      <c r="G151" s="138"/>
      <c r="H151" s="150"/>
      <c r="I151" s="150"/>
    </row>
    <row r="152" spans="1:9" x14ac:dyDescent="0.2">
      <c r="A152" s="138"/>
      <c r="B152" s="138"/>
      <c r="C152" s="138"/>
      <c r="D152" s="138"/>
      <c r="E152" s="138"/>
      <c r="F152" s="138"/>
      <c r="G152" s="138"/>
      <c r="H152" s="150"/>
      <c r="I152" s="150"/>
    </row>
    <row r="153" spans="1:9" x14ac:dyDescent="0.2">
      <c r="A153" s="138"/>
      <c r="B153" s="138"/>
      <c r="C153" s="138"/>
      <c r="D153" s="138"/>
      <c r="E153" s="138"/>
      <c r="F153" s="138"/>
      <c r="G153" s="138"/>
      <c r="H153" s="150"/>
      <c r="I153" s="150"/>
    </row>
    <row r="154" spans="1:9" x14ac:dyDescent="0.2">
      <c r="A154" s="138"/>
      <c r="B154" s="138"/>
      <c r="C154" s="138"/>
      <c r="D154" s="138"/>
      <c r="E154" s="138"/>
      <c r="F154" s="138"/>
      <c r="G154" s="138"/>
      <c r="H154" s="150"/>
      <c r="I154" s="150"/>
    </row>
    <row r="155" spans="1:9" x14ac:dyDescent="0.2">
      <c r="A155" s="138"/>
      <c r="B155" s="138"/>
      <c r="C155" s="138"/>
      <c r="D155" s="138"/>
      <c r="E155" s="138"/>
      <c r="F155" s="138"/>
      <c r="G155" s="138"/>
      <c r="H155" s="150"/>
      <c r="I155" s="150"/>
    </row>
    <row r="156" spans="1:9" x14ac:dyDescent="0.2">
      <c r="A156" s="138"/>
      <c r="B156" s="138"/>
      <c r="C156" s="138"/>
      <c r="D156" s="138"/>
      <c r="E156" s="138"/>
      <c r="F156" s="138"/>
      <c r="G156" s="138"/>
      <c r="H156" s="150"/>
      <c r="I156" s="150"/>
    </row>
    <row r="157" spans="1:9" x14ac:dyDescent="0.2">
      <c r="A157" s="138"/>
      <c r="B157" s="138"/>
      <c r="C157" s="138"/>
      <c r="D157" s="138"/>
      <c r="E157" s="138"/>
      <c r="F157" s="138"/>
      <c r="G157" s="138"/>
      <c r="H157" s="150"/>
      <c r="I157" s="150"/>
    </row>
    <row r="158" spans="1:9" x14ac:dyDescent="0.2">
      <c r="A158" s="138"/>
      <c r="B158" s="138"/>
      <c r="C158" s="138"/>
      <c r="D158" s="138"/>
      <c r="E158" s="138"/>
      <c r="F158" s="138"/>
      <c r="G158" s="138"/>
      <c r="H158" s="150"/>
      <c r="I158" s="150"/>
    </row>
    <row r="159" spans="1:9" x14ac:dyDescent="0.2">
      <c r="A159" s="138"/>
      <c r="B159" s="138"/>
      <c r="C159" s="138"/>
      <c r="D159" s="138"/>
      <c r="E159" s="138"/>
      <c r="F159" s="138"/>
      <c r="G159" s="138"/>
      <c r="H159" s="150"/>
      <c r="I159" s="150"/>
    </row>
    <row r="160" spans="1:9" x14ac:dyDescent="0.2">
      <c r="A160" s="138"/>
      <c r="B160" s="138"/>
      <c r="C160" s="138"/>
      <c r="D160" s="138"/>
      <c r="E160" s="138"/>
      <c r="F160" s="138"/>
      <c r="G160" s="138"/>
      <c r="H160" s="150"/>
      <c r="I160" s="150"/>
    </row>
    <row r="161" spans="1:10" x14ac:dyDescent="0.2">
      <c r="A161" s="138"/>
      <c r="B161" s="138"/>
      <c r="C161" s="138"/>
      <c r="D161" s="138"/>
      <c r="E161" s="138"/>
      <c r="F161" s="138"/>
      <c r="G161" s="138"/>
      <c r="H161" s="150"/>
      <c r="I161" s="150"/>
      <c r="J161" s="151"/>
    </row>
    <row r="179" spans="1:15" ht="18" x14ac:dyDescent="0.2">
      <c r="J179" s="159"/>
      <c r="K179" s="158"/>
      <c r="L179" s="159"/>
      <c r="M179" s="159"/>
      <c r="N179" s="159"/>
      <c r="O179" s="158"/>
    </row>
    <row r="180" spans="1:15" ht="18" x14ac:dyDescent="0.2">
      <c r="A180" s="138"/>
      <c r="B180" s="138"/>
      <c r="C180" s="138"/>
      <c r="D180" s="138"/>
      <c r="E180" s="138"/>
      <c r="F180" s="138"/>
      <c r="G180" s="138"/>
      <c r="H180" s="150"/>
      <c r="I180" s="150"/>
      <c r="J180" s="159"/>
      <c r="K180" s="158"/>
      <c r="L180" s="159"/>
      <c r="M180" s="159"/>
      <c r="N180" s="159"/>
      <c r="O180" s="158"/>
    </row>
    <row r="198" spans="1:9" ht="18" x14ac:dyDescent="0.2">
      <c r="B198" s="141"/>
      <c r="C198" s="141"/>
      <c r="D198" s="160"/>
      <c r="E198" s="160"/>
      <c r="F198" s="161"/>
      <c r="G198" s="161"/>
      <c r="H198" s="159"/>
      <c r="I198" s="159"/>
    </row>
    <row r="199" spans="1:9" ht="18" x14ac:dyDescent="0.2">
      <c r="A199" s="141"/>
      <c r="B199" s="141"/>
      <c r="C199" s="141"/>
      <c r="D199" s="160"/>
      <c r="E199" s="160"/>
      <c r="F199" s="161"/>
      <c r="G199" s="161"/>
      <c r="H199" s="159"/>
      <c r="I199" s="159"/>
    </row>
  </sheetData>
  <mergeCells count="11">
    <mergeCell ref="J79:M79"/>
    <mergeCell ref="J80:M80"/>
    <mergeCell ref="B88:E88"/>
    <mergeCell ref="B89:E89"/>
    <mergeCell ref="B90:E90"/>
    <mergeCell ref="AK2:AS2"/>
    <mergeCell ref="Q4:R4"/>
    <mergeCell ref="S4:U4"/>
    <mergeCell ref="V4:AA4"/>
    <mergeCell ref="J24:N24"/>
    <mergeCell ref="J78:M78"/>
  </mergeCells>
  <printOptions horizontalCentered="1"/>
  <pageMargins left="0.12" right="0" top="0" bottom="0" header="0.31496062992125984" footer="0.31496062992125984"/>
  <pageSetup paperSize="5" scale="44" orientation="landscape" horizontalDpi="300" verticalDpi="300" r:id="rId1"/>
  <rowBreaks count="1" manualBreakCount="1">
    <brk id="54" max="16383" man="1"/>
  </rowBreaks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</vt:lpstr>
      <vt:lpstr>PLANTILLA!Área_de_impresión</vt:lpstr>
      <vt:lpstr>PLANTILLA!Títulos_a_imprimir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</dc:creator>
  <cp:lastModifiedBy>DIRECCION ADMIN</cp:lastModifiedBy>
  <dcterms:created xsi:type="dcterms:W3CDTF">2016-09-02T21:43:32Z</dcterms:created>
  <dcterms:modified xsi:type="dcterms:W3CDTF">2016-09-02T21:44:52Z</dcterms:modified>
</cp:coreProperties>
</file>