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600" windowHeight="9015"/>
  </bookViews>
  <sheets>
    <sheet name="PLANTILLA 2016" sheetId="1" r:id="rId1"/>
    <sheet name="PLANTILLA EVENTUALES " sheetId="2" r:id="rId2"/>
  </sheets>
  <definedNames>
    <definedName name="_xlnm._FilterDatabase" localSheetId="0" hidden="1">'PLANTILLA 2016'!$B$1:$AU$116</definedName>
    <definedName name="_xlnm.Print_Area" localSheetId="0">'PLANTILLA 2016'!$A$1:$AU$145</definedName>
    <definedName name="_xlnm.Print_Area" localSheetId="1">'PLANTILLA EVENTUALES '!$A$6:$AL$37</definedName>
  </definedNames>
  <calcPr calcId="145621"/>
</workbook>
</file>

<file path=xl/calcChain.xml><?xml version="1.0" encoding="utf-8"?>
<calcChain xmlns="http://schemas.openxmlformats.org/spreadsheetml/2006/main">
  <c r="AD18" i="2" l="1"/>
  <c r="AB18" i="2"/>
  <c r="Y18" i="2"/>
  <c r="X18" i="2"/>
  <c r="W18" i="2"/>
  <c r="V18" i="2"/>
  <c r="S18" i="2"/>
  <c r="O18" i="2"/>
  <c r="K18" i="2"/>
  <c r="J18" i="2"/>
  <c r="AK17" i="2"/>
  <c r="AF17" i="2"/>
  <c r="AD17" i="2"/>
  <c r="AB17" i="2"/>
  <c r="Y17" i="2"/>
  <c r="X17" i="2"/>
  <c r="W17" i="2"/>
  <c r="V17" i="2"/>
  <c r="T17" i="2"/>
  <c r="T18" i="2" s="1"/>
  <c r="S17" i="2"/>
  <c r="R17" i="2"/>
  <c r="R18" i="2" s="1"/>
  <c r="Q17" i="2"/>
  <c r="Q18" i="2" s="1"/>
  <c r="O17" i="2"/>
  <c r="N17" i="2"/>
  <c r="N18" i="2" s="1"/>
  <c r="M17" i="2"/>
  <c r="M18" i="2" s="1"/>
  <c r="K17" i="2"/>
  <c r="J17" i="2"/>
  <c r="AL15" i="2"/>
  <c r="AG14" i="2"/>
  <c r="AF14" i="2"/>
  <c r="AE14" i="2"/>
  <c r="AA14" i="2"/>
  <c r="AH14" i="2" s="1"/>
  <c r="Z14" i="2"/>
  <c r="L14" i="2"/>
  <c r="AG13" i="2"/>
  <c r="AG17" i="2" s="1"/>
  <c r="AF13" i="2"/>
  <c r="AE13" i="2"/>
  <c r="AC13" i="2"/>
  <c r="AA13" i="2"/>
  <c r="AA18" i="2" s="1"/>
  <c r="Z13" i="2"/>
  <c r="L13" i="2"/>
  <c r="AJ13" i="2" s="1"/>
  <c r="AG12" i="2"/>
  <c r="AF12" i="2"/>
  <c r="AE12" i="2"/>
  <c r="AC12" i="2"/>
  <c r="AH12" i="2" s="1"/>
  <c r="AA12" i="2"/>
  <c r="Z12" i="2"/>
  <c r="L12" i="2"/>
  <c r="AJ11" i="2"/>
  <c r="AI11" i="2"/>
  <c r="AG11" i="2"/>
  <c r="AF11" i="2"/>
  <c r="AE11" i="2"/>
  <c r="AC11" i="2"/>
  <c r="AC17" i="2" s="1"/>
  <c r="AA11" i="2"/>
  <c r="Z11" i="2"/>
  <c r="U11" i="2"/>
  <c r="P11" i="2"/>
  <c r="L11" i="2"/>
  <c r="AJ10" i="2"/>
  <c r="AI10" i="2"/>
  <c r="AG10" i="2"/>
  <c r="AG18" i="2" s="1"/>
  <c r="AF10" i="2"/>
  <c r="AF18" i="2" s="1"/>
  <c r="AE10" i="2"/>
  <c r="AE17" i="2" s="1"/>
  <c r="AC10" i="2"/>
  <c r="AC18" i="2" s="1"/>
  <c r="AA10" i="2"/>
  <c r="AA17" i="2" s="1"/>
  <c r="Z10" i="2"/>
  <c r="Z18" i="2" s="1"/>
  <c r="U10" i="2"/>
  <c r="L10" i="2"/>
  <c r="P10" i="2" s="1"/>
  <c r="AT118" i="1"/>
  <c r="AF113" i="1"/>
  <c r="X117" i="1" s="1"/>
  <c r="AE113" i="1"/>
  <c r="U117" i="1" s="1"/>
  <c r="T113" i="1"/>
  <c r="S113" i="1"/>
  <c r="AT112" i="1"/>
  <c r="AF112" i="1"/>
  <c r="AE112" i="1"/>
  <c r="AB112" i="1"/>
  <c r="AB113" i="1" s="1"/>
  <c r="X112" i="1"/>
  <c r="X113" i="1" s="1"/>
  <c r="T112" i="1"/>
  <c r="S112" i="1"/>
  <c r="AS111" i="1"/>
  <c r="AP111" i="1"/>
  <c r="AO111" i="1"/>
  <c r="AN111" i="1"/>
  <c r="AK111" i="1"/>
  <c r="AJ111" i="1"/>
  <c r="AH111" i="1"/>
  <c r="AG111" i="1"/>
  <c r="AD111" i="1"/>
  <c r="U111" i="1"/>
  <c r="AP110" i="1"/>
  <c r="AO110" i="1"/>
  <c r="AN110" i="1"/>
  <c r="AK110" i="1"/>
  <c r="AJ110" i="1"/>
  <c r="AH110" i="1"/>
  <c r="AG110" i="1"/>
  <c r="Z110" i="1"/>
  <c r="U110" i="1"/>
  <c r="AS110" i="1" s="1"/>
  <c r="AP109" i="1"/>
  <c r="AO109" i="1"/>
  <c r="AN109" i="1"/>
  <c r="AK109" i="1"/>
  <c r="AJ109" i="1"/>
  <c r="AH109" i="1"/>
  <c r="AG109" i="1"/>
  <c r="U109" i="1"/>
  <c r="AP108" i="1"/>
  <c r="AO108" i="1"/>
  <c r="AN108" i="1"/>
  <c r="AK108" i="1"/>
  <c r="AJ108" i="1"/>
  <c r="AH108" i="1"/>
  <c r="AG108" i="1"/>
  <c r="Z108" i="1"/>
  <c r="U108" i="1"/>
  <c r="AS108" i="1" s="1"/>
  <c r="AS107" i="1"/>
  <c r="AP107" i="1"/>
  <c r="AO107" i="1"/>
  <c r="AN107" i="1"/>
  <c r="AK107" i="1"/>
  <c r="AJ107" i="1"/>
  <c r="AH107" i="1"/>
  <c r="AG107" i="1"/>
  <c r="AD107" i="1"/>
  <c r="U107" i="1"/>
  <c r="AP106" i="1"/>
  <c r="AO106" i="1"/>
  <c r="AN106" i="1"/>
  <c r="AK106" i="1"/>
  <c r="AJ106" i="1"/>
  <c r="AH106" i="1"/>
  <c r="AG106" i="1"/>
  <c r="Z106" i="1"/>
  <c r="U106" i="1"/>
  <c r="AS106" i="1" s="1"/>
  <c r="AS105" i="1"/>
  <c r="AP105" i="1"/>
  <c r="AO105" i="1"/>
  <c r="AN105" i="1"/>
  <c r="AK105" i="1"/>
  <c r="AJ105" i="1"/>
  <c r="AH105" i="1"/>
  <c r="AG105" i="1"/>
  <c r="AD105" i="1"/>
  <c r="U105" i="1"/>
  <c r="AP104" i="1"/>
  <c r="AO104" i="1"/>
  <c r="AN104" i="1"/>
  <c r="AK104" i="1"/>
  <c r="AJ104" i="1"/>
  <c r="AH104" i="1"/>
  <c r="AG104" i="1"/>
  <c r="Z104" i="1"/>
  <c r="U104" i="1"/>
  <c r="AS104" i="1" s="1"/>
  <c r="AS103" i="1"/>
  <c r="AP103" i="1"/>
  <c r="AO103" i="1"/>
  <c r="AN103" i="1"/>
  <c r="AK103" i="1"/>
  <c r="AJ103" i="1"/>
  <c r="AH103" i="1"/>
  <c r="AG103" i="1"/>
  <c r="AD103" i="1"/>
  <c r="Y103" i="1"/>
  <c r="U103" i="1"/>
  <c r="AC103" i="1" s="1"/>
  <c r="AL103" i="1" s="1"/>
  <c r="AR102" i="1"/>
  <c r="AP102" i="1"/>
  <c r="AO102" i="1"/>
  <c r="AN102" i="1"/>
  <c r="AK102" i="1"/>
  <c r="AJ102" i="1"/>
  <c r="AH102" i="1"/>
  <c r="AG102" i="1"/>
  <c r="AA102" i="1"/>
  <c r="U102" i="1"/>
  <c r="AP101" i="1"/>
  <c r="AO101" i="1"/>
  <c r="AN101" i="1"/>
  <c r="AK101" i="1"/>
  <c r="AJ101" i="1"/>
  <c r="AH101" i="1"/>
  <c r="AG101" i="1"/>
  <c r="Z101" i="1"/>
  <c r="AI101" i="1" s="1"/>
  <c r="U101" i="1"/>
  <c r="AS101" i="1" s="1"/>
  <c r="AR100" i="1"/>
  <c r="AP100" i="1"/>
  <c r="AO100" i="1"/>
  <c r="AN100" i="1"/>
  <c r="AK100" i="1"/>
  <c r="AJ100" i="1"/>
  <c r="AH100" i="1"/>
  <c r="AG100" i="1"/>
  <c r="AC100" i="1"/>
  <c r="AL100" i="1" s="1"/>
  <c r="U100" i="1"/>
  <c r="AP99" i="1"/>
  <c r="AO99" i="1"/>
  <c r="AN99" i="1"/>
  <c r="AK99" i="1"/>
  <c r="AJ99" i="1"/>
  <c r="AH99" i="1"/>
  <c r="AG99" i="1"/>
  <c r="U99" i="1"/>
  <c r="AR99" i="1" s="1"/>
  <c r="AP98" i="1"/>
  <c r="AO98" i="1"/>
  <c r="AN98" i="1"/>
  <c r="AK98" i="1"/>
  <c r="AJ98" i="1"/>
  <c r="AH98" i="1"/>
  <c r="AG98" i="1"/>
  <c r="U98" i="1"/>
  <c r="AP97" i="1"/>
  <c r="AO97" i="1"/>
  <c r="AN97" i="1"/>
  <c r="AK97" i="1"/>
  <c r="AJ97" i="1"/>
  <c r="AH97" i="1"/>
  <c r="AG97" i="1"/>
  <c r="U97" i="1"/>
  <c r="AR97" i="1" s="1"/>
  <c r="AP96" i="1"/>
  <c r="AO96" i="1"/>
  <c r="AN96" i="1"/>
  <c r="AK96" i="1"/>
  <c r="AJ96" i="1"/>
  <c r="AH96" i="1"/>
  <c r="AG96" i="1"/>
  <c r="U96" i="1"/>
  <c r="AS96" i="1" s="1"/>
  <c r="AP95" i="1"/>
  <c r="AO95" i="1"/>
  <c r="AN95" i="1"/>
  <c r="AK95" i="1"/>
  <c r="AJ95" i="1"/>
  <c r="AH95" i="1"/>
  <c r="AG95" i="1"/>
  <c r="U95" i="1"/>
  <c r="AA95" i="1" s="1"/>
  <c r="AP94" i="1"/>
  <c r="AO94" i="1"/>
  <c r="AN94" i="1"/>
  <c r="AK94" i="1"/>
  <c r="AJ94" i="1"/>
  <c r="AH94" i="1"/>
  <c r="AG94" i="1"/>
  <c r="AC94" i="1"/>
  <c r="AL94" i="1" s="1"/>
  <c r="AQ94" i="1" s="1"/>
  <c r="Z94" i="1"/>
  <c r="AI94" i="1" s="1"/>
  <c r="U94" i="1"/>
  <c r="AS94" i="1" s="1"/>
  <c r="AP93" i="1"/>
  <c r="AO93" i="1"/>
  <c r="AN93" i="1"/>
  <c r="AK93" i="1"/>
  <c r="AJ93" i="1"/>
  <c r="AH93" i="1"/>
  <c r="AG93" i="1"/>
  <c r="U93" i="1"/>
  <c r="K93" i="1"/>
  <c r="AP92" i="1"/>
  <c r="AO92" i="1"/>
  <c r="AN92" i="1"/>
  <c r="AK92" i="1"/>
  <c r="AJ92" i="1"/>
  <c r="AH92" i="1"/>
  <c r="AG92" i="1"/>
  <c r="U92" i="1"/>
  <c r="AR92" i="1" s="1"/>
  <c r="K92" i="1"/>
  <c r="AP91" i="1"/>
  <c r="AO91" i="1"/>
  <c r="AN91" i="1"/>
  <c r="AK91" i="1"/>
  <c r="AJ91" i="1"/>
  <c r="AH91" i="1"/>
  <c r="AG91" i="1"/>
  <c r="U91" i="1"/>
  <c r="AS91" i="1" s="1"/>
  <c r="K91" i="1"/>
  <c r="AP90" i="1"/>
  <c r="AO90" i="1"/>
  <c r="AN90" i="1"/>
  <c r="AK90" i="1"/>
  <c r="AJ90" i="1"/>
  <c r="AH90" i="1"/>
  <c r="AG90" i="1"/>
  <c r="U90" i="1"/>
  <c r="AA90" i="1" s="1"/>
  <c r="K90" i="1"/>
  <c r="AP89" i="1"/>
  <c r="AO89" i="1"/>
  <c r="AN89" i="1"/>
  <c r="AK89" i="1"/>
  <c r="AJ89" i="1"/>
  <c r="AH89" i="1"/>
  <c r="AG89" i="1"/>
  <c r="U89" i="1"/>
  <c r="K89" i="1"/>
  <c r="AP88" i="1"/>
  <c r="AO88" i="1"/>
  <c r="AN88" i="1"/>
  <c r="AK88" i="1"/>
  <c r="AJ88" i="1"/>
  <c r="AH88" i="1"/>
  <c r="AG88" i="1"/>
  <c r="U88" i="1"/>
  <c r="AM88" i="1" s="1"/>
  <c r="K88" i="1"/>
  <c r="AR87" i="1"/>
  <c r="AP87" i="1"/>
  <c r="AO87" i="1"/>
  <c r="AN87" i="1"/>
  <c r="AK87" i="1"/>
  <c r="AJ87" i="1"/>
  <c r="AH87" i="1"/>
  <c r="AG87" i="1"/>
  <c r="AC87" i="1"/>
  <c r="AL87" i="1" s="1"/>
  <c r="U87" i="1"/>
  <c r="K87" i="1"/>
  <c r="AP86" i="1"/>
  <c r="AO86" i="1"/>
  <c r="AN86" i="1"/>
  <c r="AK86" i="1"/>
  <c r="AJ86" i="1"/>
  <c r="AH86" i="1"/>
  <c r="AG86" i="1"/>
  <c r="AA86" i="1"/>
  <c r="W86" i="1"/>
  <c r="V86" i="1"/>
  <c r="U86" i="1"/>
  <c r="AS86" i="1" s="1"/>
  <c r="K86" i="1"/>
  <c r="AP85" i="1"/>
  <c r="AO85" i="1"/>
  <c r="AN85" i="1"/>
  <c r="AK85" i="1"/>
  <c r="AJ85" i="1"/>
  <c r="AH85" i="1"/>
  <c r="AG85" i="1"/>
  <c r="U85" i="1"/>
  <c r="AS85" i="1" s="1"/>
  <c r="K85" i="1"/>
  <c r="AR84" i="1"/>
  <c r="AP84" i="1"/>
  <c r="AO84" i="1"/>
  <c r="AN84" i="1"/>
  <c r="AK84" i="1"/>
  <c r="AJ84" i="1"/>
  <c r="AH84" i="1"/>
  <c r="AG84" i="1"/>
  <c r="AD84" i="1"/>
  <c r="Y84" i="1"/>
  <c r="U84" i="1"/>
  <c r="AS84" i="1" s="1"/>
  <c r="K84" i="1"/>
  <c r="AP83" i="1"/>
  <c r="AO83" i="1"/>
  <c r="AN83" i="1"/>
  <c r="AK83" i="1"/>
  <c r="AJ83" i="1"/>
  <c r="AH83" i="1"/>
  <c r="AG83" i="1"/>
  <c r="U83" i="1"/>
  <c r="AD83" i="1" s="1"/>
  <c r="K83" i="1"/>
  <c r="AR82" i="1"/>
  <c r="AP82" i="1"/>
  <c r="AO82" i="1"/>
  <c r="AN82" i="1"/>
  <c r="AK82" i="1"/>
  <c r="AJ82" i="1"/>
  <c r="AH82" i="1"/>
  <c r="AG82" i="1"/>
  <c r="AC82" i="1"/>
  <c r="AL82" i="1" s="1"/>
  <c r="Z82" i="1"/>
  <c r="AI82" i="1" s="1"/>
  <c r="U82" i="1"/>
  <c r="AS82" i="1" s="1"/>
  <c r="K82" i="1"/>
  <c r="AP81" i="1"/>
  <c r="AO81" i="1"/>
  <c r="AN81" i="1"/>
  <c r="AK81" i="1"/>
  <c r="AJ81" i="1"/>
  <c r="AH81" i="1"/>
  <c r="AG81" i="1"/>
  <c r="U81" i="1"/>
  <c r="AD81" i="1" s="1"/>
  <c r="K81" i="1"/>
  <c r="AP80" i="1"/>
  <c r="AO80" i="1"/>
  <c r="AN80" i="1"/>
  <c r="AK80" i="1"/>
  <c r="AJ80" i="1"/>
  <c r="AH80" i="1"/>
  <c r="AG80" i="1"/>
  <c r="U80" i="1"/>
  <c r="AA80" i="1" s="1"/>
  <c r="K80" i="1"/>
  <c r="AP79" i="1"/>
  <c r="AO79" i="1"/>
  <c r="AN79" i="1"/>
  <c r="AK79" i="1"/>
  <c r="AJ79" i="1"/>
  <c r="AH79" i="1"/>
  <c r="AG79" i="1"/>
  <c r="AA79" i="1"/>
  <c r="U79" i="1"/>
  <c r="AD79" i="1" s="1"/>
  <c r="K79" i="1"/>
  <c r="AP78" i="1"/>
  <c r="AO78" i="1"/>
  <c r="AN78" i="1"/>
  <c r="AK78" i="1"/>
  <c r="AJ78" i="1"/>
  <c r="AH78" i="1"/>
  <c r="AG78" i="1"/>
  <c r="AC78" i="1"/>
  <c r="AL78" i="1" s="1"/>
  <c r="Z78" i="1"/>
  <c r="AI78" i="1" s="1"/>
  <c r="U78" i="1"/>
  <c r="AS78" i="1" s="1"/>
  <c r="K78" i="1"/>
  <c r="AP77" i="1"/>
  <c r="AO77" i="1"/>
  <c r="AN77" i="1"/>
  <c r="AK77" i="1"/>
  <c r="AJ77" i="1"/>
  <c r="AH77" i="1"/>
  <c r="AG77" i="1"/>
  <c r="W77" i="1"/>
  <c r="V77" i="1"/>
  <c r="U77" i="1"/>
  <c r="AA77" i="1" s="1"/>
  <c r="K77" i="1"/>
  <c r="AP76" i="1"/>
  <c r="AO76" i="1"/>
  <c r="AN76" i="1"/>
  <c r="AK76" i="1"/>
  <c r="AJ76" i="1"/>
  <c r="AH76" i="1"/>
  <c r="AG76" i="1"/>
  <c r="U76" i="1"/>
  <c r="AS76" i="1" s="1"/>
  <c r="K76" i="1"/>
  <c r="AP75" i="1"/>
  <c r="AO75" i="1"/>
  <c r="AN75" i="1"/>
  <c r="AK75" i="1"/>
  <c r="AJ75" i="1"/>
  <c r="AH75" i="1"/>
  <c r="AG75" i="1"/>
  <c r="U75" i="1"/>
  <c r="K75" i="1"/>
  <c r="AP74" i="1"/>
  <c r="AO74" i="1"/>
  <c r="AN74" i="1"/>
  <c r="AK74" i="1"/>
  <c r="AJ74" i="1"/>
  <c r="AH74" i="1"/>
  <c r="AG74" i="1"/>
  <c r="U74" i="1"/>
  <c r="K74" i="1"/>
  <c r="AR73" i="1"/>
  <c r="AP73" i="1"/>
  <c r="AO73" i="1"/>
  <c r="AN73" i="1"/>
  <c r="AK73" i="1"/>
  <c r="AJ73" i="1"/>
  <c r="AH73" i="1"/>
  <c r="AG73" i="1"/>
  <c r="AA73" i="1"/>
  <c r="U73" i="1"/>
  <c r="AS73" i="1" s="1"/>
  <c r="K73" i="1"/>
  <c r="AP72" i="1"/>
  <c r="AO72" i="1"/>
  <c r="AN72" i="1"/>
  <c r="AK72" i="1"/>
  <c r="AJ72" i="1"/>
  <c r="AH72" i="1"/>
  <c r="AG72" i="1"/>
  <c r="AC72" i="1"/>
  <c r="AL72" i="1" s="1"/>
  <c r="Z72" i="1"/>
  <c r="AI72" i="1" s="1"/>
  <c r="U72" i="1"/>
  <c r="AS72" i="1" s="1"/>
  <c r="K72" i="1"/>
  <c r="AP71" i="1"/>
  <c r="AO71" i="1"/>
  <c r="AN71" i="1"/>
  <c r="AK71" i="1"/>
  <c r="AJ71" i="1"/>
  <c r="AH71" i="1"/>
  <c r="AG71" i="1"/>
  <c r="U71" i="1"/>
  <c r="AA71" i="1" s="1"/>
  <c r="K71" i="1"/>
  <c r="AP70" i="1"/>
  <c r="AO70" i="1"/>
  <c r="AN70" i="1"/>
  <c r="AK70" i="1"/>
  <c r="AJ70" i="1"/>
  <c r="AH70" i="1"/>
  <c r="AG70" i="1"/>
  <c r="U70" i="1"/>
  <c r="AA70" i="1" s="1"/>
  <c r="K70" i="1"/>
  <c r="AP69" i="1"/>
  <c r="AO69" i="1"/>
  <c r="AN69" i="1"/>
  <c r="AK69" i="1"/>
  <c r="AJ69" i="1"/>
  <c r="AH69" i="1"/>
  <c r="AG69" i="1"/>
  <c r="U69" i="1"/>
  <c r="K69" i="1"/>
  <c r="AP68" i="1"/>
  <c r="AO68" i="1"/>
  <c r="AN68" i="1"/>
  <c r="AK68" i="1"/>
  <c r="AJ68" i="1"/>
  <c r="AH68" i="1"/>
  <c r="AG68" i="1"/>
  <c r="U68" i="1"/>
  <c r="AR68" i="1" s="1"/>
  <c r="K68" i="1"/>
  <c r="AP67" i="1"/>
  <c r="AO67" i="1"/>
  <c r="AN67" i="1"/>
  <c r="AK67" i="1"/>
  <c r="AJ67" i="1"/>
  <c r="AH67" i="1"/>
  <c r="AG67" i="1"/>
  <c r="U67" i="1"/>
  <c r="AR67" i="1" s="1"/>
  <c r="K67" i="1"/>
  <c r="AP66" i="1"/>
  <c r="AO66" i="1"/>
  <c r="AN66" i="1"/>
  <c r="AK66" i="1"/>
  <c r="AJ66" i="1"/>
  <c r="AH66" i="1"/>
  <c r="AG66" i="1"/>
  <c r="U66" i="1"/>
  <c r="AS66" i="1" s="1"/>
  <c r="K66" i="1"/>
  <c r="AP65" i="1"/>
  <c r="AO65" i="1"/>
  <c r="AN65" i="1"/>
  <c r="AK65" i="1"/>
  <c r="AJ65" i="1"/>
  <c r="AH65" i="1"/>
  <c r="AG65" i="1"/>
  <c r="U65" i="1"/>
  <c r="AM65" i="1" s="1"/>
  <c r="K65" i="1"/>
  <c r="AP64" i="1"/>
  <c r="AO64" i="1"/>
  <c r="AN64" i="1"/>
  <c r="AK64" i="1"/>
  <c r="AJ64" i="1"/>
  <c r="AH64" i="1"/>
  <c r="AG64" i="1"/>
  <c r="U64" i="1"/>
  <c r="K64" i="1"/>
  <c r="AP63" i="1"/>
  <c r="AO63" i="1"/>
  <c r="AN63" i="1"/>
  <c r="AK63" i="1"/>
  <c r="AJ63" i="1"/>
  <c r="AH63" i="1"/>
  <c r="AG63" i="1"/>
  <c r="U63" i="1"/>
  <c r="AR63" i="1" s="1"/>
  <c r="K63" i="1"/>
  <c r="AR62" i="1"/>
  <c r="AP62" i="1"/>
  <c r="AO62" i="1"/>
  <c r="AN62" i="1"/>
  <c r="AK62" i="1"/>
  <c r="AJ62" i="1"/>
  <c r="AH62" i="1"/>
  <c r="AG62" i="1"/>
  <c r="AA62" i="1"/>
  <c r="W62" i="1"/>
  <c r="V62" i="1"/>
  <c r="U62" i="1"/>
  <c r="K62" i="1"/>
  <c r="AP61" i="1"/>
  <c r="AO61" i="1"/>
  <c r="AN61" i="1"/>
  <c r="AK61" i="1"/>
  <c r="AJ61" i="1"/>
  <c r="AH61" i="1"/>
  <c r="AG61" i="1"/>
  <c r="U61" i="1"/>
  <c r="K61" i="1"/>
  <c r="AP60" i="1"/>
  <c r="AO60" i="1"/>
  <c r="AN60" i="1"/>
  <c r="AK60" i="1"/>
  <c r="AJ60" i="1"/>
  <c r="AH60" i="1"/>
  <c r="AG60" i="1"/>
  <c r="U60" i="1"/>
  <c r="K60" i="1"/>
  <c r="AP59" i="1"/>
  <c r="AO59" i="1"/>
  <c r="AN59" i="1"/>
  <c r="AK59" i="1"/>
  <c r="AJ59" i="1"/>
  <c r="AH59" i="1"/>
  <c r="AG59" i="1"/>
  <c r="W59" i="1"/>
  <c r="V59" i="1"/>
  <c r="U59" i="1"/>
  <c r="AR59" i="1" s="1"/>
  <c r="K59" i="1"/>
  <c r="AP58" i="1"/>
  <c r="AO58" i="1"/>
  <c r="AN58" i="1"/>
  <c r="AK58" i="1"/>
  <c r="AJ58" i="1"/>
  <c r="AH58" i="1"/>
  <c r="AG58" i="1"/>
  <c r="U58" i="1"/>
  <c r="K58" i="1"/>
  <c r="AP57" i="1"/>
  <c r="AO57" i="1"/>
  <c r="AN57" i="1"/>
  <c r="AK57" i="1"/>
  <c r="AJ57" i="1"/>
  <c r="AH57" i="1"/>
  <c r="AG57" i="1"/>
  <c r="U57" i="1"/>
  <c r="K57" i="1"/>
  <c r="AP56" i="1"/>
  <c r="AO56" i="1"/>
  <c r="AN56" i="1"/>
  <c r="AK56" i="1"/>
  <c r="AJ56" i="1"/>
  <c r="AH56" i="1"/>
  <c r="AG56" i="1"/>
  <c r="U56" i="1"/>
  <c r="AS56" i="1" s="1"/>
  <c r="K56" i="1"/>
  <c r="AP55" i="1"/>
  <c r="AO55" i="1"/>
  <c r="AN55" i="1"/>
  <c r="AK55" i="1"/>
  <c r="AJ55" i="1"/>
  <c r="AH55" i="1"/>
  <c r="AG55" i="1"/>
  <c r="U55" i="1"/>
  <c r="AD55" i="1" s="1"/>
  <c r="K55" i="1"/>
  <c r="AP54" i="1"/>
  <c r="AO54" i="1"/>
  <c r="AN54" i="1"/>
  <c r="AK54" i="1"/>
  <c r="AJ54" i="1"/>
  <c r="AH54" i="1"/>
  <c r="AG54" i="1"/>
  <c r="U54" i="1"/>
  <c r="AA54" i="1" s="1"/>
  <c r="K54" i="1"/>
  <c r="AP53" i="1"/>
  <c r="AO53" i="1"/>
  <c r="AN53" i="1"/>
  <c r="AK53" i="1"/>
  <c r="AJ53" i="1"/>
  <c r="AH53" i="1"/>
  <c r="AG53" i="1"/>
  <c r="U53" i="1"/>
  <c r="AS53" i="1" s="1"/>
  <c r="K53" i="1"/>
  <c r="AP52" i="1"/>
  <c r="AO52" i="1"/>
  <c r="AN52" i="1"/>
  <c r="AK52" i="1"/>
  <c r="AJ52" i="1"/>
  <c r="AH52" i="1"/>
  <c r="AG52" i="1"/>
  <c r="Y52" i="1"/>
  <c r="U52" i="1"/>
  <c r="AM52" i="1" s="1"/>
  <c r="K52" i="1"/>
  <c r="AP51" i="1"/>
  <c r="AO51" i="1"/>
  <c r="AN51" i="1"/>
  <c r="AK51" i="1"/>
  <c r="AJ51" i="1"/>
  <c r="AH51" i="1"/>
  <c r="AG51" i="1"/>
  <c r="AC51" i="1"/>
  <c r="AL51" i="1" s="1"/>
  <c r="U51" i="1"/>
  <c r="AR51" i="1" s="1"/>
  <c r="K51" i="1"/>
  <c r="AP50" i="1"/>
  <c r="AO50" i="1"/>
  <c r="AN50" i="1"/>
  <c r="AK50" i="1"/>
  <c r="AJ50" i="1"/>
  <c r="AH50" i="1"/>
  <c r="AG50" i="1"/>
  <c r="AC50" i="1"/>
  <c r="AL50" i="1" s="1"/>
  <c r="Z50" i="1"/>
  <c r="AI50" i="1" s="1"/>
  <c r="U50" i="1"/>
  <c r="AS50" i="1" s="1"/>
  <c r="K50" i="1"/>
  <c r="AP49" i="1"/>
  <c r="AO49" i="1"/>
  <c r="AN49" i="1"/>
  <c r="AK49" i="1"/>
  <c r="AJ49" i="1"/>
  <c r="AH49" i="1"/>
  <c r="AG49" i="1"/>
  <c r="Z49" i="1"/>
  <c r="AI49" i="1" s="1"/>
  <c r="W49" i="1"/>
  <c r="V49" i="1"/>
  <c r="U49" i="1"/>
  <c r="K49" i="1"/>
  <c r="AP48" i="1"/>
  <c r="AO48" i="1"/>
  <c r="AN48" i="1"/>
  <c r="AK48" i="1"/>
  <c r="AJ48" i="1"/>
  <c r="AH48" i="1"/>
  <c r="AG48" i="1"/>
  <c r="AC48" i="1"/>
  <c r="AL48" i="1" s="1"/>
  <c r="Z48" i="1"/>
  <c r="AI48" i="1" s="1"/>
  <c r="U48" i="1"/>
  <c r="AS48" i="1" s="1"/>
  <c r="K48" i="1"/>
  <c r="AP47" i="1"/>
  <c r="AO47" i="1"/>
  <c r="AN47" i="1"/>
  <c r="AK47" i="1"/>
  <c r="AJ47" i="1"/>
  <c r="AH47" i="1"/>
  <c r="AG47" i="1"/>
  <c r="U47" i="1"/>
  <c r="AA47" i="1" s="1"/>
  <c r="K47" i="1"/>
  <c r="AP46" i="1"/>
  <c r="AO46" i="1"/>
  <c r="AN46" i="1"/>
  <c r="AK46" i="1"/>
  <c r="AJ46" i="1"/>
  <c r="AH46" i="1"/>
  <c r="AG46" i="1"/>
  <c r="U46" i="1"/>
  <c r="K46" i="1"/>
  <c r="AP45" i="1"/>
  <c r="AO45" i="1"/>
  <c r="AN45" i="1"/>
  <c r="AK45" i="1"/>
  <c r="AJ45" i="1"/>
  <c r="AH45" i="1"/>
  <c r="AG45" i="1"/>
  <c r="U45" i="1"/>
  <c r="K45" i="1"/>
  <c r="AP44" i="1"/>
  <c r="AO44" i="1"/>
  <c r="AN44" i="1"/>
  <c r="AK44" i="1"/>
  <c r="AJ44" i="1"/>
  <c r="AH44" i="1"/>
  <c r="AG44" i="1"/>
  <c r="U44" i="1"/>
  <c r="AA44" i="1" s="1"/>
  <c r="K44" i="1"/>
  <c r="AP43" i="1"/>
  <c r="AO43" i="1"/>
  <c r="AN43" i="1"/>
  <c r="AK43" i="1"/>
  <c r="AJ43" i="1"/>
  <c r="AH43" i="1"/>
  <c r="AG43" i="1"/>
  <c r="Z43" i="1"/>
  <c r="AI43" i="1" s="1"/>
  <c r="U43" i="1"/>
  <c r="AS43" i="1" s="1"/>
  <c r="K43" i="1"/>
  <c r="AP42" i="1"/>
  <c r="AO42" i="1"/>
  <c r="AN42" i="1"/>
  <c r="AK42" i="1"/>
  <c r="AJ42" i="1"/>
  <c r="AH42" i="1"/>
  <c r="AG42" i="1"/>
  <c r="Z42" i="1"/>
  <c r="AI42" i="1" s="1"/>
  <c r="U42" i="1"/>
  <c r="AS42" i="1" s="1"/>
  <c r="K42" i="1"/>
  <c r="AP41" i="1"/>
  <c r="AO41" i="1"/>
  <c r="AN41" i="1"/>
  <c r="AK41" i="1"/>
  <c r="AJ41" i="1"/>
  <c r="AH41" i="1"/>
  <c r="AG41" i="1"/>
  <c r="U41" i="1"/>
  <c r="Y41" i="1" s="1"/>
  <c r="K41" i="1"/>
  <c r="AP40" i="1"/>
  <c r="AO40" i="1"/>
  <c r="AN40" i="1"/>
  <c r="AK40" i="1"/>
  <c r="AJ40" i="1"/>
  <c r="AH40" i="1"/>
  <c r="AG40" i="1"/>
  <c r="U40" i="1"/>
  <c r="AS40" i="1" s="1"/>
  <c r="K40" i="1"/>
  <c r="AP39" i="1"/>
  <c r="AO39" i="1"/>
  <c r="AN39" i="1"/>
  <c r="AK39" i="1"/>
  <c r="AJ39" i="1"/>
  <c r="AH39" i="1"/>
  <c r="AG39" i="1"/>
  <c r="U39" i="1"/>
  <c r="AS39" i="1" s="1"/>
  <c r="K39" i="1"/>
  <c r="AP38" i="1"/>
  <c r="AO38" i="1"/>
  <c r="AN38" i="1"/>
  <c r="AK38" i="1"/>
  <c r="AJ38" i="1"/>
  <c r="AH38" i="1"/>
  <c r="AG38" i="1"/>
  <c r="W38" i="1"/>
  <c r="V38" i="1"/>
  <c r="U38" i="1"/>
  <c r="AA38" i="1" s="1"/>
  <c r="K38" i="1"/>
  <c r="AP37" i="1"/>
  <c r="AO37" i="1"/>
  <c r="AN37" i="1"/>
  <c r="AK37" i="1"/>
  <c r="AJ37" i="1"/>
  <c r="AH37" i="1"/>
  <c r="AG37" i="1"/>
  <c r="AC37" i="1"/>
  <c r="AL37" i="1" s="1"/>
  <c r="U37" i="1"/>
  <c r="AR37" i="1" s="1"/>
  <c r="K37" i="1"/>
  <c r="AP36" i="1"/>
  <c r="AO36" i="1"/>
  <c r="AN36" i="1"/>
  <c r="AK36" i="1"/>
  <c r="AJ36" i="1"/>
  <c r="AH36" i="1"/>
  <c r="AG36" i="1"/>
  <c r="U36" i="1"/>
  <c r="AS36" i="1" s="1"/>
  <c r="K36" i="1"/>
  <c r="AP35" i="1"/>
  <c r="AO35" i="1"/>
  <c r="AN35" i="1"/>
  <c r="AK35" i="1"/>
  <c r="AJ35" i="1"/>
  <c r="AH35" i="1"/>
  <c r="AG35" i="1"/>
  <c r="Z35" i="1"/>
  <c r="AI35" i="1" s="1"/>
  <c r="U35" i="1"/>
  <c r="AS35" i="1" s="1"/>
  <c r="K35" i="1"/>
  <c r="AP34" i="1"/>
  <c r="AO34" i="1"/>
  <c r="AN34" i="1"/>
  <c r="AK34" i="1"/>
  <c r="AJ34" i="1"/>
  <c r="AH34" i="1"/>
  <c r="AG34" i="1"/>
  <c r="U34" i="1"/>
  <c r="K34" i="1"/>
  <c r="AP33" i="1"/>
  <c r="AO33" i="1"/>
  <c r="AN33" i="1"/>
  <c r="AK33" i="1"/>
  <c r="AJ33" i="1"/>
  <c r="AH33" i="1"/>
  <c r="AG33" i="1"/>
  <c r="U33" i="1"/>
  <c r="K33" i="1"/>
  <c r="AP32" i="1"/>
  <c r="AO32" i="1"/>
  <c r="AN32" i="1"/>
  <c r="AK32" i="1"/>
  <c r="AJ32" i="1"/>
  <c r="AH32" i="1"/>
  <c r="AG32" i="1"/>
  <c r="U32" i="1"/>
  <c r="K32" i="1"/>
  <c r="AP31" i="1"/>
  <c r="AO31" i="1"/>
  <c r="AN31" i="1"/>
  <c r="AK31" i="1"/>
  <c r="AJ31" i="1"/>
  <c r="AH31" i="1"/>
  <c r="AG31" i="1"/>
  <c r="U31" i="1"/>
  <c r="AM31" i="1" s="1"/>
  <c r="K31" i="1"/>
  <c r="AP30" i="1"/>
  <c r="AO30" i="1"/>
  <c r="AN30" i="1"/>
  <c r="AK30" i="1"/>
  <c r="AJ30" i="1"/>
  <c r="AH30" i="1"/>
  <c r="AG30" i="1"/>
  <c r="W30" i="1"/>
  <c r="V30" i="1"/>
  <c r="U30" i="1"/>
  <c r="AA30" i="1" s="1"/>
  <c r="K30" i="1"/>
  <c r="AP29" i="1"/>
  <c r="AO29" i="1"/>
  <c r="AN29" i="1"/>
  <c r="AK29" i="1"/>
  <c r="AJ29" i="1"/>
  <c r="AH29" i="1"/>
  <c r="AG29" i="1"/>
  <c r="Z29" i="1"/>
  <c r="U29" i="1"/>
  <c r="AS29" i="1" s="1"/>
  <c r="K29" i="1"/>
  <c r="AP28" i="1"/>
  <c r="AO28" i="1"/>
  <c r="AN28" i="1"/>
  <c r="AK28" i="1"/>
  <c r="AJ28" i="1"/>
  <c r="AH28" i="1"/>
  <c r="AG28" i="1"/>
  <c r="Z28" i="1"/>
  <c r="AI28" i="1" s="1"/>
  <c r="U28" i="1"/>
  <c r="AS28" i="1" s="1"/>
  <c r="K28" i="1"/>
  <c r="AR27" i="1"/>
  <c r="AP27" i="1"/>
  <c r="AO27" i="1"/>
  <c r="AN27" i="1"/>
  <c r="AK27" i="1"/>
  <c r="AJ27" i="1"/>
  <c r="AH27" i="1"/>
  <c r="AG27" i="1"/>
  <c r="AD27" i="1"/>
  <c r="Y27" i="1"/>
  <c r="U27" i="1"/>
  <c r="AM27" i="1" s="1"/>
  <c r="K27" i="1"/>
  <c r="AP26" i="1"/>
  <c r="AO26" i="1"/>
  <c r="AN26" i="1"/>
  <c r="AK26" i="1"/>
  <c r="AJ26" i="1"/>
  <c r="AH26" i="1"/>
  <c r="AG26" i="1"/>
  <c r="U26" i="1"/>
  <c r="K26" i="1"/>
  <c r="AP25" i="1"/>
  <c r="AO25" i="1"/>
  <c r="AN25" i="1"/>
  <c r="AK25" i="1"/>
  <c r="AJ25" i="1"/>
  <c r="AH25" i="1"/>
  <c r="AG25" i="1"/>
  <c r="U25" i="1"/>
  <c r="AR25" i="1" s="1"/>
  <c r="K25" i="1"/>
  <c r="AP24" i="1"/>
  <c r="AO24" i="1"/>
  <c r="AN24" i="1"/>
  <c r="AK24" i="1"/>
  <c r="AJ24" i="1"/>
  <c r="AH24" i="1"/>
  <c r="AG24" i="1"/>
  <c r="U24" i="1"/>
  <c r="AS24" i="1" s="1"/>
  <c r="K24" i="1"/>
  <c r="AP23" i="1"/>
  <c r="AO23" i="1"/>
  <c r="AN23" i="1"/>
  <c r="AK23" i="1"/>
  <c r="AJ23" i="1"/>
  <c r="AH23" i="1"/>
  <c r="AG23" i="1"/>
  <c r="Z23" i="1"/>
  <c r="U23" i="1"/>
  <c r="AS23" i="1" s="1"/>
  <c r="K23" i="1"/>
  <c r="AP22" i="1"/>
  <c r="AO22" i="1"/>
  <c r="AN22" i="1"/>
  <c r="AK22" i="1"/>
  <c r="AJ22" i="1"/>
  <c r="AH22" i="1"/>
  <c r="AG22" i="1"/>
  <c r="U22" i="1"/>
  <c r="AM22" i="1" s="1"/>
  <c r="K22" i="1"/>
  <c r="AP21" i="1"/>
  <c r="AO21" i="1"/>
  <c r="AN21" i="1"/>
  <c r="AK21" i="1"/>
  <c r="AJ21" i="1"/>
  <c r="AH21" i="1"/>
  <c r="AG21" i="1"/>
  <c r="Z21" i="1"/>
  <c r="AI21" i="1" s="1"/>
  <c r="U21" i="1"/>
  <c r="AS21" i="1" s="1"/>
  <c r="K21" i="1"/>
  <c r="AP20" i="1"/>
  <c r="AO20" i="1"/>
  <c r="AN20" i="1"/>
  <c r="AK20" i="1"/>
  <c r="AJ20" i="1"/>
  <c r="AH20" i="1"/>
  <c r="AG20" i="1"/>
  <c r="U20" i="1"/>
  <c r="K20" i="1"/>
  <c r="AP19" i="1"/>
  <c r="AO19" i="1"/>
  <c r="AN19" i="1"/>
  <c r="AK19" i="1"/>
  <c r="AJ19" i="1"/>
  <c r="AH19" i="1"/>
  <c r="AG19" i="1"/>
  <c r="U19" i="1"/>
  <c r="AR19" i="1" s="1"/>
  <c r="K19" i="1"/>
  <c r="AP18" i="1"/>
  <c r="AO18" i="1"/>
  <c r="AN18" i="1"/>
  <c r="AK18" i="1"/>
  <c r="AJ18" i="1"/>
  <c r="AH18" i="1"/>
  <c r="AG18" i="1"/>
  <c r="U18" i="1"/>
  <c r="AS18" i="1" s="1"/>
  <c r="K18" i="1"/>
  <c r="AP17" i="1"/>
  <c r="AO17" i="1"/>
  <c r="AN17" i="1"/>
  <c r="AK17" i="1"/>
  <c r="AJ17" i="1"/>
  <c r="AH17" i="1"/>
  <c r="AG17" i="1"/>
  <c r="W17" i="1"/>
  <c r="U17" i="1"/>
  <c r="AR17" i="1" s="1"/>
  <c r="K17" i="1"/>
  <c r="AP16" i="1"/>
  <c r="AO16" i="1"/>
  <c r="AN16" i="1"/>
  <c r="AK16" i="1"/>
  <c r="AJ16" i="1"/>
  <c r="AH16" i="1"/>
  <c r="AG16" i="1"/>
  <c r="Z16" i="1"/>
  <c r="AI16" i="1" s="1"/>
  <c r="U16" i="1"/>
  <c r="AS16" i="1" s="1"/>
  <c r="K16" i="1"/>
  <c r="AP15" i="1"/>
  <c r="AO15" i="1"/>
  <c r="AN15" i="1"/>
  <c r="AK15" i="1"/>
  <c r="AJ15" i="1"/>
  <c r="AH15" i="1"/>
  <c r="AG15" i="1"/>
  <c r="U15" i="1"/>
  <c r="AM15" i="1" s="1"/>
  <c r="K15" i="1"/>
  <c r="AP14" i="1"/>
  <c r="AO14" i="1"/>
  <c r="AN14" i="1"/>
  <c r="AK14" i="1"/>
  <c r="AJ14" i="1"/>
  <c r="AH14" i="1"/>
  <c r="AG14" i="1"/>
  <c r="Z14" i="1"/>
  <c r="U14" i="1"/>
  <c r="AS14" i="1" s="1"/>
  <c r="K14" i="1"/>
  <c r="AP13" i="1"/>
  <c r="AO13" i="1"/>
  <c r="AN13" i="1"/>
  <c r="AK13" i="1"/>
  <c r="AJ13" i="1"/>
  <c r="AH13" i="1"/>
  <c r="AG13" i="1"/>
  <c r="Z13" i="1"/>
  <c r="AI13" i="1" s="1"/>
  <c r="U13" i="1"/>
  <c r="AS13" i="1" s="1"/>
  <c r="K13" i="1"/>
  <c r="AP12" i="1"/>
  <c r="AO12" i="1"/>
  <c r="AN12" i="1"/>
  <c r="AK12" i="1"/>
  <c r="AJ12" i="1"/>
  <c r="AH12" i="1"/>
  <c r="AG12" i="1"/>
  <c r="U12" i="1"/>
  <c r="AR12" i="1" s="1"/>
  <c r="K12" i="1"/>
  <c r="AP11" i="1"/>
  <c r="AO11" i="1"/>
  <c r="AN11" i="1"/>
  <c r="AK11" i="1"/>
  <c r="AJ11" i="1"/>
  <c r="AH11" i="1"/>
  <c r="AG11" i="1"/>
  <c r="U11" i="1"/>
  <c r="K11" i="1"/>
  <c r="AP10" i="1"/>
  <c r="AO10" i="1"/>
  <c r="AN10" i="1"/>
  <c r="AK10" i="1"/>
  <c r="AJ10" i="1"/>
  <c r="AH10" i="1"/>
  <c r="AG10" i="1"/>
  <c r="AD10" i="1"/>
  <c r="U10" i="1"/>
  <c r="K10" i="1"/>
  <c r="AP9" i="1"/>
  <c r="AO9" i="1"/>
  <c r="AN9" i="1"/>
  <c r="AK9" i="1"/>
  <c r="AJ9" i="1"/>
  <c r="AH9" i="1"/>
  <c r="AG9" i="1"/>
  <c r="U9" i="1"/>
  <c r="AS9" i="1" s="1"/>
  <c r="K9" i="1"/>
  <c r="AP8" i="1"/>
  <c r="AO8" i="1"/>
  <c r="AN8" i="1"/>
  <c r="AK8" i="1"/>
  <c r="AJ8" i="1"/>
  <c r="AH8" i="1"/>
  <c r="AG8" i="1"/>
  <c r="Z8" i="1"/>
  <c r="AI8" i="1" s="1"/>
  <c r="U8" i="1"/>
  <c r="AA8" i="1" s="1"/>
  <c r="K8" i="1"/>
  <c r="AR7" i="1"/>
  <c r="AP7" i="1"/>
  <c r="AO7" i="1"/>
  <c r="AN7" i="1"/>
  <c r="AK7" i="1"/>
  <c r="AJ7" i="1"/>
  <c r="AH7" i="1"/>
  <c r="AG7" i="1"/>
  <c r="AC7" i="1"/>
  <c r="AL7" i="1" s="1"/>
  <c r="Z7" i="1"/>
  <c r="U7" i="1"/>
  <c r="AD7" i="1" s="1"/>
  <c r="K7" i="1"/>
  <c r="AP6" i="1"/>
  <c r="AO6" i="1"/>
  <c r="AN6" i="1"/>
  <c r="AK6" i="1"/>
  <c r="AJ6" i="1"/>
  <c r="AH6" i="1"/>
  <c r="AG6" i="1"/>
  <c r="U6" i="1"/>
  <c r="AA6" i="1" s="1"/>
  <c r="K6" i="1"/>
  <c r="AS5" i="1"/>
  <c r="AP5" i="1"/>
  <c r="AO5" i="1"/>
  <c r="AN5" i="1"/>
  <c r="AK5" i="1"/>
  <c r="AJ5" i="1"/>
  <c r="AH5" i="1"/>
  <c r="AG5" i="1"/>
  <c r="AD5" i="1"/>
  <c r="Z5" i="1"/>
  <c r="U5" i="1"/>
  <c r="AC5" i="1" s="1"/>
  <c r="K5" i="1"/>
  <c r="Z6" i="1" l="1"/>
  <c r="AI6" i="1" s="1"/>
  <c r="AQ6" i="1" s="1"/>
  <c r="AD6" i="1"/>
  <c r="AS6" i="1"/>
  <c r="AA7" i="1"/>
  <c r="AS7" i="1"/>
  <c r="Z9" i="1"/>
  <c r="AI9" i="1" s="1"/>
  <c r="AC9" i="1"/>
  <c r="AL9" i="1" s="1"/>
  <c r="AR9" i="1"/>
  <c r="AC12" i="1"/>
  <c r="AL12" i="1" s="1"/>
  <c r="AS12" i="1"/>
  <c r="AD13" i="1"/>
  <c r="AA14" i="1"/>
  <c r="Y15" i="1"/>
  <c r="AA15" i="1"/>
  <c r="AS15" i="1"/>
  <c r="AA16" i="1"/>
  <c r="AA17" i="1"/>
  <c r="Z18" i="1"/>
  <c r="AI18" i="1" s="1"/>
  <c r="AC18" i="1"/>
  <c r="AL18" i="1" s="1"/>
  <c r="AQ18" i="1" s="1"/>
  <c r="AU18" i="1" s="1"/>
  <c r="AC19" i="1"/>
  <c r="AL19" i="1" s="1"/>
  <c r="AA21" i="1"/>
  <c r="Y22" i="1"/>
  <c r="AA22" i="1"/>
  <c r="AS22" i="1"/>
  <c r="AA23" i="1"/>
  <c r="Z24" i="1"/>
  <c r="AI24" i="1" s="1"/>
  <c r="AC24" i="1"/>
  <c r="AL24" i="1" s="1"/>
  <c r="AQ24" i="1" s="1"/>
  <c r="AC25" i="1"/>
  <c r="AL25" i="1" s="1"/>
  <c r="Z27" i="1"/>
  <c r="AI27" i="1" s="1"/>
  <c r="AS27" i="1"/>
  <c r="AD28" i="1"/>
  <c r="AA29" i="1"/>
  <c r="Z30" i="1"/>
  <c r="AI30" i="1" s="1"/>
  <c r="AD30" i="1"/>
  <c r="AR30" i="1"/>
  <c r="Y31" i="1"/>
  <c r="AD31" i="1"/>
  <c r="AR31" i="1"/>
  <c r="AA35" i="1"/>
  <c r="Z36" i="1"/>
  <c r="AI36" i="1" s="1"/>
  <c r="AC36" i="1"/>
  <c r="AL36" i="1" s="1"/>
  <c r="AQ36" i="1"/>
  <c r="AR36" i="1"/>
  <c r="AD37" i="1"/>
  <c r="AD39" i="1"/>
  <c r="AR39" i="1"/>
  <c r="Z40" i="1"/>
  <c r="AI40" i="1" s="1"/>
  <c r="AA9" i="1"/>
  <c r="AD12" i="1"/>
  <c r="Z15" i="1"/>
  <c r="AI15" i="1" s="1"/>
  <c r="AD15" i="1"/>
  <c r="AR15" i="1"/>
  <c r="Z17" i="1"/>
  <c r="AD17" i="1"/>
  <c r="AS17" i="1"/>
  <c r="AA18" i="1"/>
  <c r="AR18" i="1"/>
  <c r="AD19" i="1"/>
  <c r="Z22" i="1"/>
  <c r="AD22" i="1"/>
  <c r="AR22" i="1"/>
  <c r="AA24" i="1"/>
  <c r="AR24" i="1"/>
  <c r="AD25" i="1"/>
  <c r="AC30" i="1"/>
  <c r="AL30" i="1" s="1"/>
  <c r="AS30" i="1"/>
  <c r="Z31" i="1"/>
  <c r="AI31" i="1" s="1"/>
  <c r="AS31" i="1"/>
  <c r="AA36" i="1"/>
  <c r="AD40" i="1"/>
  <c r="AM41" i="1"/>
  <c r="AS41" i="1"/>
  <c r="Z41" i="1"/>
  <c r="AI41" i="1" s="1"/>
  <c r="AD41" i="1"/>
  <c r="AR41" i="1"/>
  <c r="AS44" i="1"/>
  <c r="AC44" i="1"/>
  <c r="AL44" i="1" s="1"/>
  <c r="Z44" i="1"/>
  <c r="AI44" i="1" s="1"/>
  <c r="AQ44" i="1" s="1"/>
  <c r="AU44" i="1" s="1"/>
  <c r="AR44" i="1"/>
  <c r="AS47" i="1"/>
  <c r="Z47" i="1"/>
  <c r="AI47" i="1" s="1"/>
  <c r="AQ48" i="1"/>
  <c r="AD42" i="1"/>
  <c r="AA43" i="1"/>
  <c r="AA48" i="1"/>
  <c r="AR48" i="1"/>
  <c r="AA50" i="1"/>
  <c r="AR50" i="1"/>
  <c r="AD51" i="1"/>
  <c r="AA52" i="1"/>
  <c r="AA53" i="1"/>
  <c r="AD53" i="1"/>
  <c r="AR53" i="1"/>
  <c r="Z54" i="1"/>
  <c r="AI54" i="1" s="1"/>
  <c r="AQ54" i="1" s="1"/>
  <c r="Z55" i="1"/>
  <c r="AI55" i="1" s="1"/>
  <c r="Z56" i="1"/>
  <c r="AI56" i="1" s="1"/>
  <c r="AQ56" i="1" s="1"/>
  <c r="AC56" i="1"/>
  <c r="AL56" i="1" s="1"/>
  <c r="AA59" i="1"/>
  <c r="AD63" i="1"/>
  <c r="Y65" i="1"/>
  <c r="AD65" i="1"/>
  <c r="AR65" i="1"/>
  <c r="Z66" i="1"/>
  <c r="AI66" i="1" s="1"/>
  <c r="Z67" i="1"/>
  <c r="AI67" i="1" s="1"/>
  <c r="AC68" i="1"/>
  <c r="AL68" i="1" s="1"/>
  <c r="Z70" i="1"/>
  <c r="AI70" i="1" s="1"/>
  <c r="AD70" i="1"/>
  <c r="Z71" i="1"/>
  <c r="AI71" i="1" s="1"/>
  <c r="AD71" i="1"/>
  <c r="AS71" i="1"/>
  <c r="AA72" i="1"/>
  <c r="AR72" i="1"/>
  <c r="AC73" i="1"/>
  <c r="AL73" i="1" s="1"/>
  <c r="Z76" i="1"/>
  <c r="AI76" i="1" s="1"/>
  <c r="AQ76" i="1" s="1"/>
  <c r="AC76" i="1"/>
  <c r="AL76" i="1" s="1"/>
  <c r="AR76" i="1"/>
  <c r="AS77" i="1"/>
  <c r="AA78" i="1"/>
  <c r="AR78" i="1"/>
  <c r="Z80" i="1"/>
  <c r="AI80" i="1" s="1"/>
  <c r="AQ80" i="1" s="1"/>
  <c r="AA81" i="1"/>
  <c r="AA82" i="1"/>
  <c r="AQ82" i="1"/>
  <c r="AA83" i="1"/>
  <c r="AA84" i="1"/>
  <c r="AA85" i="1"/>
  <c r="AD86" i="1"/>
  <c r="Z88" i="1"/>
  <c r="AI88" i="1" s="1"/>
  <c r="Z91" i="1"/>
  <c r="AI91" i="1" s="1"/>
  <c r="AC91" i="1"/>
  <c r="AL91" i="1" s="1"/>
  <c r="AQ91" i="1" s="1"/>
  <c r="AA92" i="1"/>
  <c r="AD92" i="1"/>
  <c r="AS92" i="1"/>
  <c r="AA94" i="1"/>
  <c r="AR94" i="1"/>
  <c r="Z95" i="1"/>
  <c r="AI95" i="1" s="1"/>
  <c r="AQ95" i="1" s="1"/>
  <c r="AD95" i="1"/>
  <c r="AS95" i="1"/>
  <c r="Z96" i="1"/>
  <c r="AI96" i="1" s="1"/>
  <c r="AC96" i="1"/>
  <c r="AL96" i="1" s="1"/>
  <c r="AQ96" i="1" s="1"/>
  <c r="Z99" i="1"/>
  <c r="AC99" i="1"/>
  <c r="AL99" i="1" s="1"/>
  <c r="AA101" i="1"/>
  <c r="AA104" i="1"/>
  <c r="AA106" i="1"/>
  <c r="AA108" i="1"/>
  <c r="AA110" i="1"/>
  <c r="AC53" i="1"/>
  <c r="AL53" i="1" s="1"/>
  <c r="AC54" i="1"/>
  <c r="AL54" i="1" s="1"/>
  <c r="AS54" i="1"/>
  <c r="AA55" i="1"/>
  <c r="AS55" i="1"/>
  <c r="AA56" i="1"/>
  <c r="AR56" i="1"/>
  <c r="Z65" i="1"/>
  <c r="AI65" i="1" s="1"/>
  <c r="AS65" i="1"/>
  <c r="AD66" i="1"/>
  <c r="AA67" i="1"/>
  <c r="AD68" i="1"/>
  <c r="AC70" i="1"/>
  <c r="AL70" i="1" s="1"/>
  <c r="AS70" i="1"/>
  <c r="AA76" i="1"/>
  <c r="AC80" i="1"/>
  <c r="AL80" i="1" s="1"/>
  <c r="AR80" i="1"/>
  <c r="AD88" i="1"/>
  <c r="AA91" i="1"/>
  <c r="AR91" i="1"/>
  <c r="AC92" i="1"/>
  <c r="AL92" i="1" s="1"/>
  <c r="AC95" i="1"/>
  <c r="AL95" i="1" s="1"/>
  <c r="AA96" i="1"/>
  <c r="AR96" i="1"/>
  <c r="AA99" i="1"/>
  <c r="AM99" i="1"/>
  <c r="AS99" i="1"/>
  <c r="AL12" i="2"/>
  <c r="AL14" i="2"/>
  <c r="P17" i="2"/>
  <c r="P18" i="2"/>
  <c r="AH11" i="2"/>
  <c r="AL11" i="2" s="1"/>
  <c r="L17" i="2"/>
  <c r="P13" i="2"/>
  <c r="AH13" i="2"/>
  <c r="U17" i="2"/>
  <c r="AJ12" i="2"/>
  <c r="U13" i="2"/>
  <c r="AL13" i="2" s="1"/>
  <c r="AI13" i="2"/>
  <c r="U14" i="2"/>
  <c r="AJ14" i="2"/>
  <c r="Z17" i="2"/>
  <c r="AE18" i="2"/>
  <c r="AH18" i="2" s="1"/>
  <c r="U12" i="2"/>
  <c r="U18" i="2" s="1"/>
  <c r="AI12" i="2"/>
  <c r="AI17" i="2" s="1"/>
  <c r="AI14" i="2"/>
  <c r="L18" i="2"/>
  <c r="AH10" i="2"/>
  <c r="AA11" i="1"/>
  <c r="AS11" i="1"/>
  <c r="Z11" i="1"/>
  <c r="AI11" i="1" s="1"/>
  <c r="AQ11" i="1" s="1"/>
  <c r="AR11" i="1"/>
  <c r="AD11" i="1"/>
  <c r="AC11" i="1"/>
  <c r="AL11" i="1" s="1"/>
  <c r="AQ29" i="1"/>
  <c r="AI17" i="1"/>
  <c r="AI7" i="1"/>
  <c r="AQ7" i="1" s="1"/>
  <c r="AU7" i="1" s="1"/>
  <c r="AI23" i="1"/>
  <c r="AI29" i="1"/>
  <c r="AQ50" i="1"/>
  <c r="AI5" i="1"/>
  <c r="AQ23" i="1"/>
  <c r="AI14" i="1"/>
  <c r="AN113" i="1"/>
  <c r="AR117" i="1" s="1"/>
  <c r="AN112" i="1"/>
  <c r="AQ9" i="1"/>
  <c r="AA32" i="1"/>
  <c r="AS32" i="1"/>
  <c r="Z32" i="1"/>
  <c r="AI32" i="1" s="1"/>
  <c r="AM32" i="1"/>
  <c r="Y32" i="1"/>
  <c r="AR32" i="1"/>
  <c r="AD32" i="1"/>
  <c r="AC32" i="1"/>
  <c r="AL32" i="1" s="1"/>
  <c r="AC38" i="1"/>
  <c r="AL38" i="1" s="1"/>
  <c r="AA45" i="1"/>
  <c r="Z45" i="1"/>
  <c r="AI45" i="1" s="1"/>
  <c r="AC45" i="1"/>
  <c r="AL45" i="1" s="1"/>
  <c r="AR46" i="1"/>
  <c r="AC46" i="1"/>
  <c r="AL46" i="1" s="1"/>
  <c r="AA46" i="1"/>
  <c r="AA60" i="1"/>
  <c r="AD60" i="1"/>
  <c r="AC60" i="1"/>
  <c r="AL60" i="1" s="1"/>
  <c r="AA61" i="1"/>
  <c r="AS61" i="1"/>
  <c r="AC61" i="1"/>
  <c r="AL61" i="1" s="1"/>
  <c r="AR61" i="1"/>
  <c r="AM61" i="1"/>
  <c r="AQ61" i="1" s="1"/>
  <c r="Z61" i="1"/>
  <c r="AI61" i="1" s="1"/>
  <c r="AR64" i="1"/>
  <c r="AC64" i="1"/>
  <c r="AL64" i="1" s="1"/>
  <c r="AA64" i="1"/>
  <c r="AS64" i="1"/>
  <c r="AD64" i="1"/>
  <c r="AR75" i="1"/>
  <c r="AC75" i="1"/>
  <c r="AL75" i="1" s="1"/>
  <c r="AD75" i="1"/>
  <c r="AA75" i="1"/>
  <c r="AS75" i="1"/>
  <c r="AA109" i="1"/>
  <c r="Z109" i="1"/>
  <c r="AI109" i="1" s="1"/>
  <c r="AQ109" i="1" s="1"/>
  <c r="AC109" i="1"/>
  <c r="AL109" i="1" s="1"/>
  <c r="AR109" i="1"/>
  <c r="AL5" i="1"/>
  <c r="AO113" i="1"/>
  <c r="AD117" i="1" s="1"/>
  <c r="AO112" i="1"/>
  <c r="AI22" i="1"/>
  <c r="AA33" i="1"/>
  <c r="Z33" i="1"/>
  <c r="AI33" i="1" s="1"/>
  <c r="AQ33" i="1" s="1"/>
  <c r="AC33" i="1"/>
  <c r="AL33" i="1" s="1"/>
  <c r="AR34" i="1"/>
  <c r="AC34" i="1"/>
  <c r="AL34" i="1" s="1"/>
  <c r="AA34" i="1"/>
  <c r="AR38" i="1"/>
  <c r="AD45" i="1"/>
  <c r="AR45" i="1"/>
  <c r="Z46" i="1"/>
  <c r="AI46" i="1" s="1"/>
  <c r="AQ46" i="1" s="1"/>
  <c r="Z57" i="1"/>
  <c r="AI57" i="1" s="1"/>
  <c r="AS57" i="1"/>
  <c r="AD57" i="1"/>
  <c r="AR57" i="1"/>
  <c r="AC57" i="1"/>
  <c r="AL57" i="1" s="1"/>
  <c r="AA58" i="1"/>
  <c r="AC58" i="1"/>
  <c r="AL58" i="1" s="1"/>
  <c r="AS58" i="1"/>
  <c r="Z58" i="1"/>
  <c r="AI58" i="1" s="1"/>
  <c r="Z60" i="1"/>
  <c r="AI60" i="1" s="1"/>
  <c r="AR60" i="1"/>
  <c r="Y61" i="1"/>
  <c r="Z64" i="1"/>
  <c r="AI64" i="1" s="1"/>
  <c r="Z75" i="1"/>
  <c r="AI75" i="1" s="1"/>
  <c r="AD109" i="1"/>
  <c r="AS109" i="1"/>
  <c r="AJ113" i="1"/>
  <c r="AC117" i="1" s="1"/>
  <c r="AJ112" i="1"/>
  <c r="AP113" i="1"/>
  <c r="AS117" i="1" s="1"/>
  <c r="AP112" i="1"/>
  <c r="Z10" i="1"/>
  <c r="AI10" i="1" s="1"/>
  <c r="AR10" i="1"/>
  <c r="AC10" i="1"/>
  <c r="AL10" i="1" s="1"/>
  <c r="AS10" i="1"/>
  <c r="AA12" i="1"/>
  <c r="Y12" i="1"/>
  <c r="AR20" i="1"/>
  <c r="AC20" i="1"/>
  <c r="AL20" i="1" s="1"/>
  <c r="AA20" i="1"/>
  <c r="AS20" i="1"/>
  <c r="AD20" i="1"/>
  <c r="AR26" i="1"/>
  <c r="AC26" i="1"/>
  <c r="AL26" i="1" s="1"/>
  <c r="AA26" i="1"/>
  <c r="AS26" i="1"/>
  <c r="AD26" i="1"/>
  <c r="AD33" i="1"/>
  <c r="AR33" i="1"/>
  <c r="Z34" i="1"/>
  <c r="AI34" i="1" s="1"/>
  <c r="AQ34" i="1" s="1"/>
  <c r="AS45" i="1"/>
  <c r="AD46" i="1"/>
  <c r="AS46" i="1"/>
  <c r="AA57" i="1"/>
  <c r="AD58" i="1"/>
  <c r="AR58" i="1"/>
  <c r="AQ60" i="1"/>
  <c r="AS60" i="1"/>
  <c r="AD61" i="1"/>
  <c r="AA98" i="1"/>
  <c r="AD98" i="1"/>
  <c r="AS98" i="1"/>
  <c r="Z98" i="1"/>
  <c r="AI98" i="1" s="1"/>
  <c r="AR98" i="1"/>
  <c r="AC98" i="1"/>
  <c r="AL98" i="1" s="1"/>
  <c r="U113" i="1"/>
  <c r="U112" i="1"/>
  <c r="AA5" i="1"/>
  <c r="AG113" i="1"/>
  <c r="Z117" i="1" s="1"/>
  <c r="AG112" i="1"/>
  <c r="AK113" i="1"/>
  <c r="V117" i="1" s="1"/>
  <c r="AK112" i="1"/>
  <c r="AR5" i="1"/>
  <c r="AR6" i="1"/>
  <c r="AC6" i="1"/>
  <c r="AL6" i="1" s="1"/>
  <c r="AR8" i="1"/>
  <c r="AC8" i="1"/>
  <c r="AL8" i="1" s="1"/>
  <c r="AQ8" i="1" s="1"/>
  <c r="AD8" i="1"/>
  <c r="AS8" i="1"/>
  <c r="AA10" i="1"/>
  <c r="Z12" i="1"/>
  <c r="AI12" i="1" s="1"/>
  <c r="AQ12" i="1" s="1"/>
  <c r="AM12" i="1"/>
  <c r="AR13" i="1"/>
  <c r="AC13" i="1"/>
  <c r="AL13" i="1" s="1"/>
  <c r="AQ13" i="1" s="1"/>
  <c r="AA13" i="1"/>
  <c r="Z20" i="1"/>
  <c r="AI20" i="1" s="1"/>
  <c r="Z26" i="1"/>
  <c r="AI26" i="1" s="1"/>
  <c r="AQ26" i="1" s="1"/>
  <c r="AR28" i="1"/>
  <c r="AC28" i="1"/>
  <c r="AL28" i="1" s="1"/>
  <c r="AA28" i="1"/>
  <c r="AQ30" i="1"/>
  <c r="AU30" i="1" s="1"/>
  <c r="AS33" i="1"/>
  <c r="AD34" i="1"/>
  <c r="AS34" i="1"/>
  <c r="AA39" i="1"/>
  <c r="Z39" i="1"/>
  <c r="AI39" i="1" s="1"/>
  <c r="AC39" i="1"/>
  <c r="AL39" i="1" s="1"/>
  <c r="AR40" i="1"/>
  <c r="AC40" i="1"/>
  <c r="AL40" i="1" s="1"/>
  <c r="AQ40" i="1" s="1"/>
  <c r="AA40" i="1"/>
  <c r="AQ45" i="1"/>
  <c r="AQ58" i="1"/>
  <c r="AR69" i="1"/>
  <c r="AC69" i="1"/>
  <c r="AL69" i="1" s="1"/>
  <c r="AA69" i="1"/>
  <c r="AS69" i="1"/>
  <c r="AD69" i="1"/>
  <c r="Z69" i="1"/>
  <c r="AI69" i="1" s="1"/>
  <c r="AQ69" i="1" s="1"/>
  <c r="AA74" i="1"/>
  <c r="AD74" i="1"/>
  <c r="AC74" i="1"/>
  <c r="AL74" i="1" s="1"/>
  <c r="AS74" i="1"/>
  <c r="AR74" i="1"/>
  <c r="Z74" i="1"/>
  <c r="AI74" i="1" s="1"/>
  <c r="AQ74" i="1" s="1"/>
  <c r="AA93" i="1"/>
  <c r="AD93" i="1"/>
  <c r="AS93" i="1"/>
  <c r="Z93" i="1"/>
  <c r="AI93" i="1" s="1"/>
  <c r="AR93" i="1"/>
  <c r="AC93" i="1"/>
  <c r="AL93" i="1" s="1"/>
  <c r="AQ93" i="1" s="1"/>
  <c r="Z38" i="1"/>
  <c r="AI38" i="1" s="1"/>
  <c r="AQ38" i="1" s="1"/>
  <c r="AS38" i="1"/>
  <c r="AD38" i="1"/>
  <c r="AQ75" i="1"/>
  <c r="AH113" i="1"/>
  <c r="AA117" i="1" s="1"/>
  <c r="AH112" i="1"/>
  <c r="AA19" i="1"/>
  <c r="Z19" i="1"/>
  <c r="AI19" i="1" s="1"/>
  <c r="AQ19" i="1" s="1"/>
  <c r="AS19" i="1"/>
  <c r="AA25" i="1"/>
  <c r="Z25" i="1"/>
  <c r="AI25" i="1" s="1"/>
  <c r="AQ25" i="1"/>
  <c r="AU25" i="1" s="1"/>
  <c r="AS25" i="1"/>
  <c r="AQ28" i="1"/>
  <c r="AA37" i="1"/>
  <c r="Z37" i="1"/>
  <c r="AI37" i="1" s="1"/>
  <c r="AQ37" i="1" s="1"/>
  <c r="AS37" i="1"/>
  <c r="AR42" i="1"/>
  <c r="AC42" i="1"/>
  <c r="AL42" i="1" s="1"/>
  <c r="AQ42" i="1" s="1"/>
  <c r="AA42" i="1"/>
  <c r="AS49" i="1"/>
  <c r="AD49" i="1"/>
  <c r="AR49" i="1"/>
  <c r="AC49" i="1"/>
  <c r="AL49" i="1" s="1"/>
  <c r="AQ49" i="1" s="1"/>
  <c r="AA49" i="1"/>
  <c r="AA51" i="1"/>
  <c r="Z51" i="1"/>
  <c r="AI51" i="1" s="1"/>
  <c r="AQ51" i="1" s="1"/>
  <c r="AS51" i="1"/>
  <c r="Z59" i="1"/>
  <c r="AI59" i="1" s="1"/>
  <c r="AS59" i="1"/>
  <c r="AD59" i="1"/>
  <c r="AC59" i="1"/>
  <c r="AL59" i="1" s="1"/>
  <c r="Z62" i="1"/>
  <c r="AI62" i="1" s="1"/>
  <c r="AQ62" i="1" s="1"/>
  <c r="AS62" i="1"/>
  <c r="AD62" i="1"/>
  <c r="AC62" i="1"/>
  <c r="AL62" i="1" s="1"/>
  <c r="AQ103" i="1"/>
  <c r="AI104" i="1"/>
  <c r="AD9" i="1"/>
  <c r="AU9" i="1" s="1"/>
  <c r="AC14" i="1"/>
  <c r="AL14" i="1" s="1"/>
  <c r="AQ14" i="1" s="1"/>
  <c r="AR14" i="1"/>
  <c r="AC15" i="1"/>
  <c r="AC16" i="1"/>
  <c r="AL16" i="1" s="1"/>
  <c r="AQ16" i="1" s="1"/>
  <c r="AR16" i="1"/>
  <c r="AC17" i="1"/>
  <c r="AL17" i="1" s="1"/>
  <c r="AD18" i="1"/>
  <c r="AC21" i="1"/>
  <c r="AR21" i="1"/>
  <c r="AC22" i="1"/>
  <c r="AL22" i="1" s="1"/>
  <c r="AC23" i="1"/>
  <c r="AL23" i="1" s="1"/>
  <c r="AR23" i="1"/>
  <c r="AD24" i="1"/>
  <c r="AA27" i="1"/>
  <c r="AC29" i="1"/>
  <c r="AL29" i="1" s="1"/>
  <c r="AR29" i="1"/>
  <c r="AA31" i="1"/>
  <c r="AC35" i="1"/>
  <c r="AR35" i="1"/>
  <c r="AD36" i="1"/>
  <c r="AU36" i="1" s="1"/>
  <c r="AA41" i="1"/>
  <c r="AC43" i="1"/>
  <c r="AL43" i="1" s="1"/>
  <c r="AQ43" i="1" s="1"/>
  <c r="AR43" i="1"/>
  <c r="AD44" i="1"/>
  <c r="AC47" i="1"/>
  <c r="AR47" i="1"/>
  <c r="AD48" i="1"/>
  <c r="AD50" i="1"/>
  <c r="AU50" i="1" s="1"/>
  <c r="AC52" i="1"/>
  <c r="AL52" i="1" s="1"/>
  <c r="Z53" i="1"/>
  <c r="AI53" i="1" s="1"/>
  <c r="AQ53" i="1" s="1"/>
  <c r="AD54" i="1"/>
  <c r="AA63" i="1"/>
  <c r="Z63" i="1"/>
  <c r="AI63" i="1" s="1"/>
  <c r="AS63" i="1"/>
  <c r="AS97" i="1"/>
  <c r="Z97" i="1"/>
  <c r="AI97" i="1" s="1"/>
  <c r="Y97" i="1"/>
  <c r="AM97" i="1"/>
  <c r="AC97" i="1"/>
  <c r="AL97" i="1" s="1"/>
  <c r="AD97" i="1"/>
  <c r="AA97" i="1"/>
  <c r="AA105" i="1"/>
  <c r="Z105" i="1"/>
  <c r="AI105" i="1" s="1"/>
  <c r="AC105" i="1"/>
  <c r="AL105" i="1" s="1"/>
  <c r="AQ105" i="1" s="1"/>
  <c r="AR105" i="1"/>
  <c r="AD14" i="1"/>
  <c r="AD16" i="1"/>
  <c r="W112" i="1"/>
  <c r="W113" i="1" s="1"/>
  <c r="AD21" i="1"/>
  <c r="AD23" i="1"/>
  <c r="AC27" i="1"/>
  <c r="AL27" i="1" s="1"/>
  <c r="AQ27" i="1" s="1"/>
  <c r="AD29" i="1"/>
  <c r="V112" i="1"/>
  <c r="V113" i="1" s="1"/>
  <c r="AC31" i="1"/>
  <c r="AL31" i="1" s="1"/>
  <c r="AQ31" i="1" s="1"/>
  <c r="AD35" i="1"/>
  <c r="AC41" i="1"/>
  <c r="AL41" i="1" s="1"/>
  <c r="AQ41" i="1" s="1"/>
  <c r="AD43" i="1"/>
  <c r="AD47" i="1"/>
  <c r="AS52" i="1"/>
  <c r="Z52" i="1"/>
  <c r="AD52" i="1"/>
  <c r="AR52" i="1"/>
  <c r="AR54" i="1"/>
  <c r="AR55" i="1"/>
  <c r="AC55" i="1"/>
  <c r="AL55" i="1" s="1"/>
  <c r="AQ55" i="1" s="1"/>
  <c r="AC63" i="1"/>
  <c r="AL63" i="1" s="1"/>
  <c r="AR66" i="1"/>
  <c r="AC66" i="1"/>
  <c r="AL66" i="1" s="1"/>
  <c r="AQ66" i="1" s="1"/>
  <c r="AA66" i="1"/>
  <c r="AA68" i="1"/>
  <c r="Z68" i="1"/>
  <c r="AI68" i="1" s="1"/>
  <c r="AQ68" i="1" s="1"/>
  <c r="AS68" i="1"/>
  <c r="AQ72" i="1"/>
  <c r="Z85" i="1"/>
  <c r="AI85" i="1" s="1"/>
  <c r="AR85" i="1"/>
  <c r="AC85" i="1"/>
  <c r="AL85" i="1" s="1"/>
  <c r="AD85" i="1"/>
  <c r="AA89" i="1"/>
  <c r="AS89" i="1"/>
  <c r="Z89" i="1"/>
  <c r="AD89" i="1"/>
  <c r="AR89" i="1"/>
  <c r="AC89" i="1"/>
  <c r="AL89" i="1" s="1"/>
  <c r="AI108" i="1"/>
  <c r="AQ108" i="1" s="1"/>
  <c r="AD56" i="1"/>
  <c r="AA65" i="1"/>
  <c r="AC67" i="1"/>
  <c r="AL67" i="1" s="1"/>
  <c r="AQ67" i="1" s="1"/>
  <c r="AS67" i="1"/>
  <c r="AQ70" i="1"/>
  <c r="AU70" i="1" s="1"/>
  <c r="AR70" i="1"/>
  <c r="AR71" i="1"/>
  <c r="AC71" i="1"/>
  <c r="AD73" i="1"/>
  <c r="Z79" i="1"/>
  <c r="AI79" i="1" s="1"/>
  <c r="AR79" i="1"/>
  <c r="AC79" i="1"/>
  <c r="AL79" i="1" s="1"/>
  <c r="AS79" i="1"/>
  <c r="AR81" i="1"/>
  <c r="AC81" i="1"/>
  <c r="AL81" i="1" s="1"/>
  <c r="Z81" i="1"/>
  <c r="AI81" i="1" s="1"/>
  <c r="AS81" i="1"/>
  <c r="AA87" i="1"/>
  <c r="AD87" i="1"/>
  <c r="AS87" i="1"/>
  <c r="Z87" i="1"/>
  <c r="AR90" i="1"/>
  <c r="AC90" i="1"/>
  <c r="AL90" i="1" s="1"/>
  <c r="AS90" i="1"/>
  <c r="Z90" i="1"/>
  <c r="AD90" i="1"/>
  <c r="AI99" i="1"/>
  <c r="AQ99" i="1" s="1"/>
  <c r="AA107" i="1"/>
  <c r="Z107" i="1"/>
  <c r="AI107" i="1" s="1"/>
  <c r="AR107" i="1"/>
  <c r="AC107" i="1"/>
  <c r="AL107" i="1" s="1"/>
  <c r="AA111" i="1"/>
  <c r="Z111" i="1"/>
  <c r="AI111" i="1" s="1"/>
  <c r="AR111" i="1"/>
  <c r="AC111" i="1"/>
  <c r="AL111" i="1" s="1"/>
  <c r="AQ111" i="1" s="1"/>
  <c r="AC65" i="1"/>
  <c r="AL65" i="1" s="1"/>
  <c r="AQ65" i="1" s="1"/>
  <c r="Z73" i="1"/>
  <c r="AI73" i="1" s="1"/>
  <c r="AQ73" i="1" s="1"/>
  <c r="AR77" i="1"/>
  <c r="AC77" i="1"/>
  <c r="AL77" i="1" s="1"/>
  <c r="Z77" i="1"/>
  <c r="AI77" i="1" s="1"/>
  <c r="AD77" i="1"/>
  <c r="AQ78" i="1"/>
  <c r="Z83" i="1"/>
  <c r="AI83" i="1" s="1"/>
  <c r="AR83" i="1"/>
  <c r="AC83" i="1"/>
  <c r="AL83" i="1" s="1"/>
  <c r="AS83" i="1"/>
  <c r="AA88" i="1"/>
  <c r="AR88" i="1"/>
  <c r="AC88" i="1"/>
  <c r="AL88" i="1" s="1"/>
  <c r="AQ88" i="1" s="1"/>
  <c r="Y88" i="1"/>
  <c r="AS88" i="1"/>
  <c r="AQ98" i="1"/>
  <c r="AU98" i="1" s="1"/>
  <c r="Z100" i="1"/>
  <c r="AI100" i="1" s="1"/>
  <c r="AQ100" i="1" s="1"/>
  <c r="AS100" i="1"/>
  <c r="AD100" i="1"/>
  <c r="AA100" i="1"/>
  <c r="AI106" i="1"/>
  <c r="AQ106" i="1" s="1"/>
  <c r="AI110" i="1"/>
  <c r="AD80" i="1"/>
  <c r="AS80" i="1"/>
  <c r="AC84" i="1"/>
  <c r="AL84" i="1" s="1"/>
  <c r="AM84" i="1"/>
  <c r="Z86" i="1"/>
  <c r="AI86" i="1" s="1"/>
  <c r="AQ86" i="1" s="1"/>
  <c r="AC86" i="1"/>
  <c r="AL86" i="1" s="1"/>
  <c r="AR86" i="1"/>
  <c r="Z102" i="1"/>
  <c r="AI102" i="1" s="1"/>
  <c r="AQ102" i="1" s="1"/>
  <c r="AS102" i="1"/>
  <c r="AD102" i="1"/>
  <c r="Y102" i="1"/>
  <c r="X118" i="1"/>
  <c r="AD72" i="1"/>
  <c r="AD76" i="1"/>
  <c r="AD78" i="1"/>
  <c r="AD82" i="1"/>
  <c r="AU82" i="1" s="1"/>
  <c r="Z84" i="1"/>
  <c r="Z92" i="1"/>
  <c r="AI92" i="1" s="1"/>
  <c r="AQ92" i="1" s="1"/>
  <c r="AR95" i="1"/>
  <c r="AC102" i="1"/>
  <c r="AL102" i="1" s="1"/>
  <c r="AA103" i="1"/>
  <c r="Z103" i="1"/>
  <c r="AI103" i="1" s="1"/>
  <c r="AR103" i="1"/>
  <c r="AD91" i="1"/>
  <c r="AD94" i="1"/>
  <c r="AU94" i="1" s="1"/>
  <c r="AD96" i="1"/>
  <c r="AD99" i="1"/>
  <c r="AC101" i="1"/>
  <c r="AL101" i="1" s="1"/>
  <c r="AQ101" i="1" s="1"/>
  <c r="AR101" i="1"/>
  <c r="AC104" i="1"/>
  <c r="AL104" i="1" s="1"/>
  <c r="AR104" i="1"/>
  <c r="AC106" i="1"/>
  <c r="AL106" i="1" s="1"/>
  <c r="AR106" i="1"/>
  <c r="AC108" i="1"/>
  <c r="AL108" i="1" s="1"/>
  <c r="AR108" i="1"/>
  <c r="AC110" i="1"/>
  <c r="AL110" i="1" s="1"/>
  <c r="AQ110" i="1" s="1"/>
  <c r="AR110" i="1"/>
  <c r="AD101" i="1"/>
  <c r="AD104" i="1"/>
  <c r="AD106" i="1"/>
  <c r="AD108" i="1"/>
  <c r="AD110" i="1"/>
  <c r="AU99" i="1" l="1"/>
  <c r="AU95" i="1"/>
  <c r="AU76" i="1"/>
  <c r="AU86" i="1"/>
  <c r="AU80" i="1"/>
  <c r="AQ83" i="1"/>
  <c r="AU56" i="1"/>
  <c r="AU14" i="1"/>
  <c r="AU105" i="1"/>
  <c r="AU29" i="1"/>
  <c r="AU69" i="1"/>
  <c r="AD113" i="1"/>
  <c r="AQ10" i="1"/>
  <c r="AU45" i="1"/>
  <c r="AQ22" i="1"/>
  <c r="AQ17" i="1"/>
  <c r="AU96" i="1"/>
  <c r="AU91" i="1"/>
  <c r="AU78" i="1"/>
  <c r="AU72" i="1"/>
  <c r="AQ77" i="1"/>
  <c r="AU111" i="1"/>
  <c r="AQ107" i="1"/>
  <c r="AU65" i="1"/>
  <c r="AQ85" i="1"/>
  <c r="AU85" i="1" s="1"/>
  <c r="AQ97" i="1"/>
  <c r="AQ63" i="1"/>
  <c r="AU48" i="1"/>
  <c r="AU43" i="1"/>
  <c r="AU31" i="1"/>
  <c r="AU24" i="1"/>
  <c r="AQ104" i="1"/>
  <c r="AQ59" i="1"/>
  <c r="AQ39" i="1"/>
  <c r="AU39" i="1" s="1"/>
  <c r="AQ20" i="1"/>
  <c r="AU20" i="1" s="1"/>
  <c r="AS113" i="1"/>
  <c r="AU75" i="1"/>
  <c r="AQ64" i="1"/>
  <c r="AU11" i="1"/>
  <c r="AJ17" i="2"/>
  <c r="AJ18" i="2"/>
  <c r="AL18" i="2"/>
  <c r="AH17" i="2"/>
  <c r="AL10" i="2"/>
  <c r="AI18" i="2"/>
  <c r="AU102" i="1"/>
  <c r="AU88" i="1"/>
  <c r="AU66" i="1"/>
  <c r="AU27" i="1"/>
  <c r="AU13" i="1"/>
  <c r="AU61" i="1"/>
  <c r="AU106" i="1"/>
  <c r="AU59" i="1"/>
  <c r="AD118" i="1"/>
  <c r="AU101" i="1"/>
  <c r="Z112" i="1"/>
  <c r="Z113" i="1" s="1"/>
  <c r="Z118" i="1" s="1"/>
  <c r="AI87" i="1"/>
  <c r="AQ87" i="1" s="1"/>
  <c r="AU87" i="1" s="1"/>
  <c r="AI89" i="1"/>
  <c r="AQ89" i="1" s="1"/>
  <c r="AU89" i="1" s="1"/>
  <c r="AU68" i="1"/>
  <c r="AU53" i="1"/>
  <c r="AU37" i="1"/>
  <c r="AU19" i="1"/>
  <c r="AU49" i="1"/>
  <c r="AU6" i="1"/>
  <c r="AI84" i="1"/>
  <c r="AQ84" i="1" s="1"/>
  <c r="AU84" i="1" s="1"/>
  <c r="AU83" i="1"/>
  <c r="AQ79" i="1"/>
  <c r="AU108" i="1"/>
  <c r="AI52" i="1"/>
  <c r="AQ52" i="1" s="1"/>
  <c r="AU52" i="1"/>
  <c r="AL47" i="1"/>
  <c r="AQ47" i="1" s="1"/>
  <c r="AU47" i="1"/>
  <c r="AU41" i="1"/>
  <c r="AU35" i="1"/>
  <c r="AL35" i="1"/>
  <c r="AQ35" i="1" s="1"/>
  <c r="AL21" i="1"/>
  <c r="AQ21" i="1" s="1"/>
  <c r="AU21" i="1" s="1"/>
  <c r="AU62" i="1"/>
  <c r="AU51" i="1"/>
  <c r="AU42" i="1"/>
  <c r="AU74" i="1"/>
  <c r="AU40" i="1"/>
  <c r="AU28" i="1"/>
  <c r="AU26" i="1"/>
  <c r="AQ5" i="1"/>
  <c r="Y113" i="1"/>
  <c r="Y112" i="1"/>
  <c r="AD112" i="1"/>
  <c r="AU58" i="1"/>
  <c r="AC112" i="1"/>
  <c r="AC113" i="1" s="1"/>
  <c r="AC118" i="1" s="1"/>
  <c r="AU109" i="1"/>
  <c r="AU67" i="1"/>
  <c r="AU64" i="1"/>
  <c r="AU46" i="1"/>
  <c r="AQ32" i="1"/>
  <c r="AU32" i="1" s="1"/>
  <c r="AU8" i="1"/>
  <c r="AI113" i="1"/>
  <c r="AB117" i="1" s="1"/>
  <c r="AB118" i="1" s="1"/>
  <c r="AS112" i="1"/>
  <c r="AU16" i="1"/>
  <c r="AU12" i="1"/>
  <c r="AQ57" i="1"/>
  <c r="AU57" i="1" s="1"/>
  <c r="AU22" i="1"/>
  <c r="AU92" i="1"/>
  <c r="AU110" i="1"/>
  <c r="AU107" i="1"/>
  <c r="AI90" i="1"/>
  <c r="AQ90" i="1" s="1"/>
  <c r="AU90" i="1" s="1"/>
  <c r="AL71" i="1"/>
  <c r="AQ71" i="1" s="1"/>
  <c r="AU71" i="1" s="1"/>
  <c r="AU63" i="1"/>
  <c r="AU38" i="1"/>
  <c r="V118" i="1"/>
  <c r="AA112" i="1"/>
  <c r="AA113" i="1" s="1"/>
  <c r="AA118" i="1" s="1"/>
  <c r="AU10" i="1"/>
  <c r="AU33" i="1"/>
  <c r="AU103" i="1"/>
  <c r="AU100" i="1"/>
  <c r="AU77" i="1"/>
  <c r="AU73" i="1"/>
  <c r="AQ81" i="1"/>
  <c r="AU81" i="1" s="1"/>
  <c r="AU79" i="1"/>
  <c r="AU97" i="1"/>
  <c r="AU54" i="1"/>
  <c r="AL15" i="1"/>
  <c r="AQ15" i="1" s="1"/>
  <c r="AU15" i="1" s="1"/>
  <c r="AU104" i="1"/>
  <c r="AU93" i="1"/>
  <c r="AU55" i="1"/>
  <c r="AM112" i="1"/>
  <c r="AM113" i="1"/>
  <c r="Y117" i="1" s="1"/>
  <c r="AR113" i="1"/>
  <c r="AR112" i="1"/>
  <c r="U118" i="1"/>
  <c r="AS118" i="1"/>
  <c r="AU34" i="1"/>
  <c r="AU60" i="1"/>
  <c r="AU5" i="1"/>
  <c r="AU23" i="1"/>
  <c r="AU17" i="1"/>
  <c r="AC114" i="1" l="1"/>
  <c r="AL19" i="2"/>
  <c r="AL16" i="2"/>
  <c r="AL17" i="2" s="1"/>
  <c r="AL112" i="1"/>
  <c r="AI112" i="1"/>
  <c r="AL113" i="1"/>
  <c r="W117" i="1" s="1"/>
  <c r="W118" i="1" s="1"/>
  <c r="AR118" i="1"/>
  <c r="Y118" i="1"/>
  <c r="AU115" i="1"/>
  <c r="AU112" i="1"/>
  <c r="AQ112" i="1"/>
  <c r="AQ113" i="1" l="1"/>
  <c r="AU113" i="1" s="1"/>
  <c r="AU118" i="1" s="1"/>
  <c r="AT114" i="1" l="1"/>
  <c r="AU114" i="1" s="1"/>
</calcChain>
</file>

<file path=xl/sharedStrings.xml><?xml version="1.0" encoding="utf-8"?>
<sst xmlns="http://schemas.openxmlformats.org/spreadsheetml/2006/main" count="1386" uniqueCount="357">
  <si>
    <t>ORGANISMO:_ INSTITUTO CULTURAL CABAÑAS___</t>
  </si>
  <si>
    <t xml:space="preserve">                      </t>
  </si>
  <si>
    <t>DEPENDENCIA CABEZA DE SECTOR:__ SECRETARIA DE CULTURA</t>
  </si>
  <si>
    <t>SIGLAS : ICC</t>
  </si>
  <si>
    <t>PLANTILLA 2016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</si>
  <si>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</si>
  <si>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</si>
  <si>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</si>
  <si>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</si>
  <si>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No. Cons</t>
  </si>
  <si>
    <t>UP</t>
  </si>
  <si>
    <t>ORG</t>
  </si>
  <si>
    <t>PG</t>
  </si>
  <si>
    <t>PC</t>
  </si>
  <si>
    <t>UEG</t>
  </si>
  <si>
    <t>CODIGO DEL PUESTO</t>
  </si>
  <si>
    <t>NOMBRE DEL BENEFICIARIO</t>
  </si>
  <si>
    <t>R.F.C.</t>
  </si>
  <si>
    <t>SEXO</t>
  </si>
  <si>
    <t>NIVEL</t>
  </si>
  <si>
    <t>JOR</t>
  </si>
  <si>
    <t>CATEG</t>
  </si>
  <si>
    <t>NOMBRE DEL PUESTO</t>
  </si>
  <si>
    <t>ADSCRIPCIÓN</t>
  </si>
  <si>
    <t>DIRECCION DE ADSCRIPCION AL PUESTO</t>
  </si>
  <si>
    <t>SUELDO BASE  1131</t>
  </si>
  <si>
    <t>EXCEDENTE</t>
  </si>
  <si>
    <t>SUMA         SUELDO BASE  1131</t>
  </si>
  <si>
    <t>AYUDA PARA DESPENSA
1712</t>
  </si>
  <si>
    <t>AYUDA PARA PASAJES
1713</t>
  </si>
  <si>
    <t>PRIMA QUINQUENAL POR AÑOS DE SERVICIO EFECTIVOS PRESTADOS 1311</t>
  </si>
  <si>
    <t>PRIMA
DOMINICAL
1321</t>
  </si>
  <si>
    <t>CUOTAS A
PENSIONES
1431</t>
  </si>
  <si>
    <t>CUOTAS PARA
LA VIVIENDA
1421</t>
  </si>
  <si>
    <t>CUOTAS 
AL IMSS
1411</t>
  </si>
  <si>
    <t>CUOTAS PARA EL SISTEMA DE AHORRO PARA EL RETIRO (SAR) 1432</t>
  </si>
  <si>
    <t>ESTIMULO DIA SERVIDOR PUBLICO        1715</t>
  </si>
  <si>
    <t>IMPACTO AL SALARIO</t>
  </si>
  <si>
    <t>IMPACTO QUINQUENIO 1301</t>
  </si>
  <si>
    <t>CUOTAS A
PENSIONES
1401</t>
  </si>
  <si>
    <t>CUOTAS PARA
LA VIVIENDA
1402</t>
  </si>
  <si>
    <t>CUOTAS 
AL IMSS
1404</t>
  </si>
  <si>
    <t>CUOTAS
AL S.E.D.A.R.
1405</t>
  </si>
  <si>
    <t>DESPENSA
1601</t>
  </si>
  <si>
    <t>PASAJES
1602</t>
  </si>
  <si>
    <t>PRIMA
DOMINICAL
1311</t>
  </si>
  <si>
    <t>PRIMA
VACACIONAL
1311</t>
  </si>
  <si>
    <t xml:space="preserve">IMPACTO AL ESTIMULO DIA SERVIDOR PUBLICO </t>
  </si>
  <si>
    <t>IMPACTO AL AGUINALDO</t>
  </si>
  <si>
    <t>IMPACTO AL SALARIO EN EL TRANSCURSO DEL AÑO      1611</t>
  </si>
  <si>
    <t>PRIMA
VACACIONAL
1321</t>
  </si>
  <si>
    <t>AGUINALDO
1322</t>
  </si>
  <si>
    <t>OTROS ESTIMULOS 1719</t>
  </si>
  <si>
    <t>TOTAL
ANUAL</t>
  </si>
  <si>
    <t>ALCANTAR MARTÍN MARIA DE  JESÚS</t>
  </si>
  <si>
    <t>AAMJ601215UX5</t>
  </si>
  <si>
    <t>M</t>
  </si>
  <si>
    <t>B</t>
  </si>
  <si>
    <t>ANALISTA "B"</t>
  </si>
  <si>
    <t>VIGILANCIA</t>
  </si>
  <si>
    <t>DIRECCION DE MUSEOGRAFIA</t>
  </si>
  <si>
    <t>ALVAREZ FLORES RAMÓN</t>
  </si>
  <si>
    <t>AAFR520202KHA</t>
  </si>
  <si>
    <t>H</t>
  </si>
  <si>
    <t>AYUDANTE DE SERVICIO</t>
  </si>
  <si>
    <t>INTENDENCIA</t>
  </si>
  <si>
    <t>ÁNGEL VILLALVAZO RODOLFO</t>
  </si>
  <si>
    <t>AEVR621026721</t>
  </si>
  <si>
    <t>TECNICO "B"</t>
  </si>
  <si>
    <t>AYÓN FLORES ROSA</t>
  </si>
  <si>
    <t>AOFR4208303W2</t>
  </si>
  <si>
    <t>BARAJAS AVILA MARIA DEL ROCIO</t>
  </si>
  <si>
    <t>BAAR650604N44</t>
  </si>
  <si>
    <t>RECURSOS HUMANOS</t>
  </si>
  <si>
    <t>DIRECCION ADMINISTRATIVA</t>
  </si>
  <si>
    <t>BEAS HURTADO JUAN JOSÉ</t>
  </si>
  <si>
    <t>BEHJ710516QT9</t>
  </si>
  <si>
    <t>BECERRA VARGAS CARLOS GUILLERMO</t>
  </si>
  <si>
    <t>BEVC891228</t>
  </si>
  <si>
    <t>TECNICO EN CIRCUITO CERRADO</t>
  </si>
  <si>
    <t>CIRCUITO CERRADO</t>
  </si>
  <si>
    <t>CAMACHO GONZÁLEZ  MARIA  DEL SOCORRO</t>
  </si>
  <si>
    <t>CAGS590104LK6</t>
  </si>
  <si>
    <t>CAZARES ZAMORA HUGO</t>
  </si>
  <si>
    <t>CAZH780417QJA</t>
  </si>
  <si>
    <t>MANTENIMIENTO</t>
  </si>
  <si>
    <t>CHAVEZ IÑIGUEZ ALBA TONATZIN</t>
  </si>
  <si>
    <t>CAIA831020</t>
  </si>
  <si>
    <t>DIRECCION GENERAL/ RELACIONES PUBLICAS</t>
  </si>
  <si>
    <t>DIRECCION GENERAL</t>
  </si>
  <si>
    <t>CHAVEZ VAZQUEZ JORGE ALFREDO</t>
  </si>
  <si>
    <t>CAVJ580806H7</t>
  </si>
  <si>
    <t>ENC.SERV.INTERNOS</t>
  </si>
  <si>
    <t>COLUNGA PERRY MIGUEL</t>
  </si>
  <si>
    <t>COPM6607222E8</t>
  </si>
  <si>
    <t>CONTRERAS BUSTOS ANA ALEJANDRA</t>
  </si>
  <si>
    <t>COBA780723672</t>
  </si>
  <si>
    <t>TECNICO ESPECIALIZADO A</t>
  </si>
  <si>
    <t>CORTÉS MARTÍNEZ JOSÉ</t>
  </si>
  <si>
    <t>COMJ3812205K4</t>
  </si>
  <si>
    <t>COVARRUBIAS HERNÁNDEZ ROSA YADIRA</t>
  </si>
  <si>
    <t>COHR731210AT9</t>
  </si>
  <si>
    <t>COORDINACION DE COMPRAS</t>
  </si>
  <si>
    <t>CUEVAS LOPEZ ALFREDO</t>
  </si>
  <si>
    <t>CULX7408179B5</t>
  </si>
  <si>
    <t>DE LA ROSA SAUCEDO ILEANA ESMERALDA</t>
  </si>
  <si>
    <t>ROSI7903052G1</t>
  </si>
  <si>
    <t>COMISIONADA AL SINDICATO</t>
  </si>
  <si>
    <t>DELGADO TORRES MARCELA</t>
  </si>
  <si>
    <t>DETM841216KD8</t>
  </si>
  <si>
    <t xml:space="preserve">DÍAZ GONZÁLEZ JOSÉ LUIS </t>
  </si>
  <si>
    <t>DIGL6008185Y6</t>
  </si>
  <si>
    <t>ENCINO GARCIA ISRAEL</t>
  </si>
  <si>
    <t>EIGI7510018WA</t>
  </si>
  <si>
    <t>ESPARZA ESPARZA AGUSTÍN</t>
  </si>
  <si>
    <t>EAEA651210JKA</t>
  </si>
  <si>
    <t>GARCIA MORALES JUAN</t>
  </si>
  <si>
    <t>GAMJ790310HT5</t>
  </si>
  <si>
    <t>GONZALEZ AMARAL ERNESTO</t>
  </si>
  <si>
    <t>GOAE581209568</t>
  </si>
  <si>
    <t>GUIA DE VISITANTES</t>
  </si>
  <si>
    <t>ATENCION A VISITANTES</t>
  </si>
  <si>
    <t>GONZÁLEZ MARTÍNEZ SILVIA</t>
  </si>
  <si>
    <t>GOMS690916315</t>
  </si>
  <si>
    <t>ENCARGADO DE AREA B</t>
  </si>
  <si>
    <t>CONTABILIDAD</t>
  </si>
  <si>
    <t>GUERRERO SALAZAR TRINIDAD</t>
  </si>
  <si>
    <t>GUST510520NZ8</t>
  </si>
  <si>
    <t>GUTIERREZ LÓPEZ GERARDO ANTONIO</t>
  </si>
  <si>
    <t>GULG700429KU6</t>
  </si>
  <si>
    <t>TECNICO ESPECIALIZADO</t>
  </si>
  <si>
    <t>GUTIÉRREZ LÓPEZ JOSÉ MARTÍN</t>
  </si>
  <si>
    <t>GULM670220LKA</t>
  </si>
  <si>
    <t>GUTIERREZ PÉREZ OLGA</t>
  </si>
  <si>
    <t>GUPO571026GDA</t>
  </si>
  <si>
    <t>GUTIERREZ SÁNCHEZ ERNESTO</t>
  </si>
  <si>
    <t>GUSE6807037RA</t>
  </si>
  <si>
    <t xml:space="preserve">CHOFER  </t>
  </si>
  <si>
    <t>GUTIÉRREZ SÁNCHEZ MARICELA</t>
  </si>
  <si>
    <t>GUSM660429S91</t>
  </si>
  <si>
    <t>SRIA.DIRECCION GENERAL</t>
  </si>
  <si>
    <t>HERNANDEZ CARDONA MARIA GABRIELA</t>
  </si>
  <si>
    <t>HECG800507UJ4</t>
  </si>
  <si>
    <t>C</t>
  </si>
  <si>
    <t xml:space="preserve">COORDINADOR </t>
  </si>
  <si>
    <t>COORDINACION JURIDICA</t>
  </si>
  <si>
    <t>HERNÁNDEZ ESTRADA JORGE ARMANDO</t>
  </si>
  <si>
    <t>HEEJ680714S78</t>
  </si>
  <si>
    <t>HERNÁNDEZ ZETINA GUADALUPE</t>
  </si>
  <si>
    <t>HEZG591105KP3</t>
  </si>
  <si>
    <t>ENCARGADO DE SERVICIOS INTER</t>
  </si>
  <si>
    <t>ACTIVOS FIJOS</t>
  </si>
  <si>
    <t>HERNANDEZ ZETINA MARIA TERESA</t>
  </si>
  <si>
    <t>HEZT6603243A5</t>
  </si>
  <si>
    <t>HURTADO ASCENCIO MARTHA ALICIA</t>
  </si>
  <si>
    <t>HUAM730106HP1</t>
  </si>
  <si>
    <t>JUAREZ TORRES LUIS FERNANDO</t>
  </si>
  <si>
    <t>JUTL7412203L8</t>
  </si>
  <si>
    <t>BIBLIIOTECA</t>
  </si>
  <si>
    <t>LARA DURAN BLANCA OLIVIA</t>
  </si>
  <si>
    <t>LADB800923</t>
  </si>
  <si>
    <t>LARIOS ANGUIANO JOSE MAXIMILIANO</t>
  </si>
  <si>
    <t>LAAM610511</t>
  </si>
  <si>
    <t>LARIOS HERNANDEZ EVELIA</t>
  </si>
  <si>
    <t>LAHE710510610</t>
  </si>
  <si>
    <t>LARIOS HERNANDEZ MARIA PATRICIA</t>
  </si>
  <si>
    <t>LAHP730311D24</t>
  </si>
  <si>
    <t>LEDEZMA ANGUIANO CLAUDIA ELIZABETH</t>
  </si>
  <si>
    <t>LEAC6902246X3</t>
  </si>
  <si>
    <t>SERVICIOS EDUCATIVOS</t>
  </si>
  <si>
    <t>MACIEL CASTILLO JOSÉ LUIS</t>
  </si>
  <si>
    <t>MACL600910AG1</t>
  </si>
  <si>
    <t>TECNICO "A"</t>
  </si>
  <si>
    <t>MACIEL CASTILLO JOSÉ MARTÍN</t>
  </si>
  <si>
    <t>MACM641128P37</t>
  </si>
  <si>
    <t>MACIEL CASTILLO MARIA GUADALUPE</t>
  </si>
  <si>
    <t>MACG7310083W3</t>
  </si>
  <si>
    <t>MALDONADO PEÑA AGUSTÍN</t>
  </si>
  <si>
    <t>MAPA6408204QA</t>
  </si>
  <si>
    <t>COORDINACION DE MUSEOGRAFIA</t>
  </si>
  <si>
    <t>DIRECCON DE MUSEOGRAFIA Y CURADURIA</t>
  </si>
  <si>
    <t>MANRRIQUEZ MEZA ERNESTOR</t>
  </si>
  <si>
    <t>MAMX721104FH2</t>
  </si>
  <si>
    <t>MEDINA GARCIA MARCO ANTONIO</t>
  </si>
  <si>
    <t>MEGM851008</t>
  </si>
  <si>
    <t>MEZA MACEDO MARIA DEL REFUGIO</t>
  </si>
  <si>
    <t>MEMR661027948</t>
  </si>
  <si>
    <t>MONTES RODRIGUEZ ERUBEY</t>
  </si>
  <si>
    <t>MORE690910673</t>
  </si>
  <si>
    <t>MORALES MORALES JOSÉ GERARDO</t>
  </si>
  <si>
    <t>MOMG530914EG4</t>
  </si>
  <si>
    <t>MORALES TELLO GUADALUPE</t>
  </si>
  <si>
    <t>MOTG680930C93</t>
  </si>
  <si>
    <t>ENCARGADO DE AREA "A"</t>
  </si>
  <si>
    <t>MORALES VILLAGOMEZ MARIANA</t>
  </si>
  <si>
    <t>MOVM800529BX1</t>
  </si>
  <si>
    <t>NAVARRO RIVERA J. DE JESÚS</t>
  </si>
  <si>
    <t>NARJ580907RJ2</t>
  </si>
  <si>
    <t>OLIVAREZ PARRA ISRAEL</t>
  </si>
  <si>
    <t>OIPI7701201Z4</t>
  </si>
  <si>
    <t>OROZCO GONZALEZ LAURA ELENA</t>
  </si>
  <si>
    <t>OOGL6810275D6</t>
  </si>
  <si>
    <t>ORTEGA CAMACHO MARIA DEL SOCORRO</t>
  </si>
  <si>
    <t>OECS800502V52</t>
  </si>
  <si>
    <t>PADILLA RODRIGUEZ AMADO</t>
  </si>
  <si>
    <t>PARA530103V82</t>
  </si>
  <si>
    <t>PEÑA GONZALEZ VICTOR CESAR</t>
  </si>
  <si>
    <t>PEGV540707</t>
  </si>
  <si>
    <t xml:space="preserve">DISEÑADOR GRAFICO </t>
  </si>
  <si>
    <t>PÉREZ CAZARES SONIA</t>
  </si>
  <si>
    <t>PECS790812EY7</t>
  </si>
  <si>
    <t>DIRECCION DE MUSEOGRAFIA Y CURADURIA</t>
  </si>
  <si>
    <t>PEREZ RODRIGUEZ MARCO ANTONIO</t>
  </si>
  <si>
    <t>PERM581110528</t>
  </si>
  <si>
    <t>DIRECTOR  ADMINISTRATIVO</t>
  </si>
  <si>
    <t>PEZA AYON RICARDO</t>
  </si>
  <si>
    <t>PEAR810323899</t>
  </si>
  <si>
    <t>DIRECCCION DE MUSEOGRAFIA</t>
  </si>
  <si>
    <t>RAMIREZ BRIONES LILIANA</t>
  </si>
  <si>
    <t>RABL770829CK7</t>
  </si>
  <si>
    <t xml:space="preserve">RAMIREZ CAMPUZANO OLGA </t>
  </si>
  <si>
    <t>RACO 5004227N3</t>
  </si>
  <si>
    <t xml:space="preserve">DIRECTOR GENERAL </t>
  </si>
  <si>
    <t>RAMIREZ JOSE LUIS</t>
  </si>
  <si>
    <t>RALU5610317Z6</t>
  </si>
  <si>
    <t>REYES JIMÉNEZ TEOFILO DE JESÚS</t>
  </si>
  <si>
    <t>REJT250108UW2</t>
  </si>
  <si>
    <t>RODRIGUEZ CORONA RUBEN</t>
  </si>
  <si>
    <t>ROCR580731S33</t>
  </si>
  <si>
    <t>RODRÍGUEZ ESTRADA FRANCISCO JAVIER</t>
  </si>
  <si>
    <t>ROEF591202UD1</t>
  </si>
  <si>
    <t>RODRIGUEZ PÉREZ HECTOR VICENTE</t>
  </si>
  <si>
    <t>ROPH660520AP9</t>
  </si>
  <si>
    <t xml:space="preserve">RUVALCABA LIZARDE RIGOBERTO </t>
  </si>
  <si>
    <t>RULR6708062L8</t>
  </si>
  <si>
    <t>SALCIDO GUZMAN MARTHA</t>
  </si>
  <si>
    <t>SAGM600311C29</t>
  </si>
  <si>
    <t>SANCHEZ BONILLA NOE</t>
  </si>
  <si>
    <t>SABN730901</t>
  </si>
  <si>
    <t>COORDINACION DE RENTA DE ESPACIOS Y COMPRAS</t>
  </si>
  <si>
    <t>SÁNCHEZ CARVAJAL JOSÉ JAIME</t>
  </si>
  <si>
    <t>SACJ600913258</t>
  </si>
  <si>
    <t>SÁNCHEZ FLORES JOSÉ ALEJANDRO</t>
  </si>
  <si>
    <t>SAFA760101AHA</t>
  </si>
  <si>
    <t xml:space="preserve">SÁNCHEZ JIMÉNEZ CLAUDIA LETICIA </t>
  </si>
  <si>
    <t>SAJC710202GI0</t>
  </si>
  <si>
    <t>SALA LUDICA</t>
  </si>
  <si>
    <t>SÁNCHEZ JIMÉNEZ ERNESTO</t>
  </si>
  <si>
    <t>SAJE731122551</t>
  </si>
  <si>
    <t>COMISIONADO AL SINDICATO</t>
  </si>
  <si>
    <t>SÁNCHEZ RAMÍREZ PATRICIA</t>
  </si>
  <si>
    <t>SARP730225DX8</t>
  </si>
  <si>
    <t>SANCHEZ REYNAGA VICTOR MANUEL</t>
  </si>
  <si>
    <t>SARV601118RH6</t>
  </si>
  <si>
    <t>SILVA HERNANDEZ JOSEFINA</t>
  </si>
  <si>
    <t>SIHJ5410133AO</t>
  </si>
  <si>
    <t>TORNERO SANDOVAL SILVIA MARGARITA</t>
  </si>
  <si>
    <t>TOSS520513P43</t>
  </si>
  <si>
    <t>TORRES LLAMAS LETICIA</t>
  </si>
  <si>
    <t>TOLL520610581</t>
  </si>
  <si>
    <t>VALLEJO ARIZPE ALEJANDRA YADIRA</t>
  </si>
  <si>
    <t>VAAA750509RZ7</t>
  </si>
  <si>
    <t>ENCARGADO DE AREA "B"</t>
  </si>
  <si>
    <t>VARGAS RODRIGUEZ EDUARDO</t>
  </si>
  <si>
    <t>VARE700930J71</t>
  </si>
  <si>
    <t>VARGAS VILLA ALFONSO</t>
  </si>
  <si>
    <t>VAVA831119TS1</t>
  </si>
  <si>
    <t>VELAZQUEZ ALCANTAR ALEJANDRO</t>
  </si>
  <si>
    <t>VEAA800808I79</t>
  </si>
  <si>
    <t>VILLA VALADEZ ANDRES</t>
  </si>
  <si>
    <t>VIVA590423SS5</t>
  </si>
  <si>
    <t>VILLALVAZO LEONARDO PAULINO</t>
  </si>
  <si>
    <t>VILP620101P81</t>
  </si>
  <si>
    <t>VILLANUEVA ISORDIA ROBERTO</t>
  </si>
  <si>
    <t>VIIR6506073Y6</t>
  </si>
  <si>
    <t>VILLEGAS LEYVA VERONICA</t>
  </si>
  <si>
    <t>VILV6912206M8</t>
  </si>
  <si>
    <t xml:space="preserve">VIRGEN VILLEGAS ADALBERTO </t>
  </si>
  <si>
    <t>VIVA740423ITA</t>
  </si>
  <si>
    <t>CHOFER ESPECIALIZADO</t>
  </si>
  <si>
    <t>VACANTE</t>
  </si>
  <si>
    <t>CURADOR EN JEFE</t>
  </si>
  <si>
    <t>DIRECCION DE MUSEOGRAIA Y CURADURIA</t>
  </si>
  <si>
    <t>DIRECTOR DE AREA DE MUSEOS</t>
  </si>
  <si>
    <t>COORDINADOR DE MUSEOGRAFIA</t>
  </si>
  <si>
    <t>ANALISTA B</t>
  </si>
  <si>
    <t>CAJERO</t>
  </si>
  <si>
    <t>TAQUILLA</t>
  </si>
  <si>
    <t>VACANTE (LITIGIO  )</t>
  </si>
  <si>
    <t>SRIA. DE DIRECCION GENERAL</t>
  </si>
  <si>
    <t>VACANTE (LITIGIO )</t>
  </si>
  <si>
    <t>SALA DE CINE</t>
  </si>
  <si>
    <t>Total de plazas</t>
  </si>
  <si>
    <t>DRA. MYRIAM VACHEZ PLAGNOL</t>
  </si>
  <si>
    <t>LIC. OLGA RAMIREZ CAMPUZANO</t>
  </si>
  <si>
    <t xml:space="preserve">TITULAR O REPRESENTANTE </t>
  </si>
  <si>
    <t>PRESIDENTE DEL CONSEJO DIRECTIVO</t>
  </si>
  <si>
    <t>SECRETARIA  DEL CONSEJO DIRECTIVO</t>
  </si>
  <si>
    <t>INSTITUTO NACIONAL DE BELLAS ARTES</t>
  </si>
  <si>
    <t xml:space="preserve">REPRESENTANTE </t>
  </si>
  <si>
    <t>CONTRALORIA DEL ESTADO</t>
  </si>
  <si>
    <t>GOBIERNO MUNICIPAL DE GUADALAJARA</t>
  </si>
  <si>
    <t>SECRETARIA DE PLANEACION ADMINISTRACION Y FINANZAS</t>
  </si>
  <si>
    <t>Guadalajara, Jalisco,  18 de Enero  de 2016</t>
  </si>
  <si>
    <t>SECRETARIA DE EDUCACIÓN</t>
  </si>
  <si>
    <t>UNIVERSIDAD DE GUADALAJARA</t>
  </si>
  <si>
    <t>Sesión del Consejo Directivo del Instituto Cultural Cabañas</t>
  </si>
  <si>
    <t>Elaboro: LCP. Marco Antonio Perez Rodriguez</t>
  </si>
  <si>
    <t xml:space="preserve">Director Administrativo </t>
  </si>
  <si>
    <t>PLANTILLA CON PROYECCION DE CAMBIOS</t>
  </si>
  <si>
    <t>PLANTILLA ABRIL 2014 ACTUALIZADA</t>
  </si>
  <si>
    <t>COSTO MENSUAL</t>
  </si>
  <si>
    <t>COSTO ANUAL</t>
  </si>
  <si>
    <t>ZONA
ECONÓMICA</t>
  </si>
  <si>
    <t>AGUILAR HERNÁNDEZ MARIA   ROSARIO</t>
  </si>
  <si>
    <t>CASTILLO MORAN SERGIO</t>
  </si>
  <si>
    <t>MUSEOGRAFIA</t>
  </si>
  <si>
    <t>TIENDA</t>
  </si>
  <si>
    <t>DURAZO TRUJILLO MARIA</t>
  </si>
  <si>
    <t>LÓPEZ LARA AMELIA</t>
  </si>
  <si>
    <t>MEDINA ASCENCIO JAIME</t>
  </si>
  <si>
    <t>PAREDES DÍAZ EMILIO</t>
  </si>
  <si>
    <t>COORDINACION DE EXPOSICIONES</t>
  </si>
  <si>
    <t>SÁNCHEZ CARBAJAL ARMANDO</t>
  </si>
  <si>
    <t>COLUMNAS ADICIONALES PARA CONCEPTOS ANUAL  PROPIOS DEL ORGANISMO</t>
  </si>
  <si>
    <t>PLANTILLA OCTUBRE   2014 ACTUALIZADA</t>
  </si>
  <si>
    <t>f</t>
  </si>
  <si>
    <t>g</t>
  </si>
  <si>
    <t>h</t>
  </si>
  <si>
    <t>i</t>
  </si>
  <si>
    <t>k</t>
  </si>
  <si>
    <t>l</t>
  </si>
  <si>
    <t>m</t>
  </si>
  <si>
    <t>w</t>
  </si>
  <si>
    <t>x</t>
  </si>
  <si>
    <t>n</t>
  </si>
  <si>
    <t>o</t>
  </si>
  <si>
    <t>r</t>
  </si>
  <si>
    <t>s</t>
  </si>
  <si>
    <t>t</t>
  </si>
  <si>
    <t>u</t>
  </si>
  <si>
    <t>y</t>
  </si>
  <si>
    <t>z</t>
  </si>
  <si>
    <t>p</t>
  </si>
  <si>
    <t>q</t>
  </si>
  <si>
    <t>aa</t>
  </si>
  <si>
    <t>bb</t>
  </si>
  <si>
    <t>PLANTILLA  PERSONAL EVENTUAL 2016</t>
  </si>
  <si>
    <t>PLAZA</t>
  </si>
  <si>
    <t>MORENO HERRERA ANGEL GUADALUPE</t>
  </si>
  <si>
    <t>TECNICO B</t>
  </si>
  <si>
    <t>RODRIGUEZ FUENTES ERI DANIEL</t>
  </si>
  <si>
    <t>CHAVEZ CASTORENA CLAUDIA ALICIA</t>
  </si>
  <si>
    <t>ENCARGADO DE AREA</t>
  </si>
  <si>
    <t>PEÑA MORENO MARIA DEL ROCIO</t>
  </si>
  <si>
    <t>CAJERA</t>
  </si>
  <si>
    <t>JIMENEZ LOPEZ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</si>
</sst>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_ ;\-#,##0.00\ "/>
    <numFmt numFmtId="166" formatCode="_-&quot;$&quot;* #,##0_-;\-&quot;$&quot;* #,##0_-;_-&quot;$&quot;* &quot;-&quot;??_-;_-@_-"/>
    <numFmt numFmtId="167" formatCode="_-[$€-2]* #,##0.00_-;\-[$€-2]* #,##0.00_-;_-[$€-2]* &quot;-&quot;??_-"/>
    <numFmt numFmtId="168" formatCode="0.00;[Red]0.00"/>
    <numFmt numFmtId="169" formatCode="#,##0.00;[Red]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Century Gothic"/>
      <family val="2"/>
    </font>
    <font>
      <b/>
      <sz val="9"/>
      <name val="Arial"/>
      <family val="2"/>
    </font>
    <font>
      <sz val="9"/>
      <name val="Century Gothic"/>
      <family val="2"/>
    </font>
    <font>
      <sz val="8"/>
      <name val="MS Sans Serif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.85"/>
      <color indexed="8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b/>
      <sz val="9"/>
      <name val="Times New Roman"/>
      <family val="1"/>
    </font>
    <font>
      <b/>
      <sz val="6"/>
      <name val="Arial"/>
      <family val="2"/>
    </font>
    <font>
      <sz val="8.5"/>
      <color indexed="8"/>
      <name val="Arial"/>
      <family val="2"/>
    </font>
    <font>
      <sz val="8.5"/>
      <color indexed="8"/>
      <name val="MS Sans Serif"/>
      <family val="2"/>
    </font>
    <font>
      <sz val="9.85"/>
      <color indexed="8"/>
      <name val="Times New Roman"/>
      <family val="1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2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3" fillId="0" borderId="0" xfId="3" applyFont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justify" wrapText="1"/>
    </xf>
    <xf numFmtId="0" fontId="4" fillId="0" borderId="0" xfId="3" applyFont="1" applyBorder="1" applyAlignment="1">
      <alignment vertical="center" wrapText="1"/>
    </xf>
    <xf numFmtId="44" fontId="8" fillId="0" borderId="0" xfId="4" applyFont="1" applyBorder="1" applyAlignment="1">
      <alignment horizontal="left" vertical="top"/>
    </xf>
    <xf numFmtId="0" fontId="9" fillId="0" borderId="0" xfId="3" applyFont="1" applyBorder="1"/>
    <xf numFmtId="0" fontId="8" fillId="0" borderId="0" xfId="2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2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4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3" applyFont="1"/>
    <xf numFmtId="164" fontId="8" fillId="0" borderId="0" xfId="2" applyNumberFormat="1" applyFont="1" applyFill="1" applyAlignment="1">
      <alignment vertical="center"/>
    </xf>
    <xf numFmtId="0" fontId="3" fillId="0" borderId="0" xfId="2" applyFont="1" applyAlignment="1">
      <alignment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left" vertical="center"/>
    </xf>
    <xf numFmtId="0" fontId="13" fillId="0" borderId="4" xfId="5" applyFont="1" applyFill="1" applyBorder="1" applyAlignment="1">
      <alignment horizontal="left" vertical="center"/>
    </xf>
    <xf numFmtId="14" fontId="13" fillId="0" borderId="4" xfId="5" applyNumberFormat="1" applyFont="1" applyFill="1" applyBorder="1" applyAlignment="1">
      <alignment horizontal="center" vertical="center"/>
    </xf>
    <xf numFmtId="1" fontId="13" fillId="0" borderId="4" xfId="5" applyNumberFormat="1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left" vertical="center"/>
    </xf>
    <xf numFmtId="0" fontId="11" fillId="0" borderId="4" xfId="2" applyFont="1" applyFill="1" applyBorder="1" applyAlignment="1">
      <alignment vertical="center"/>
    </xf>
    <xf numFmtId="3" fontId="11" fillId="0" borderId="4" xfId="2" applyNumberFormat="1" applyFont="1" applyFill="1" applyBorder="1" applyAlignment="1">
      <alignment horizontal="right" vertical="center"/>
    </xf>
    <xf numFmtId="2" fontId="11" fillId="0" borderId="4" xfId="2" applyNumberFormat="1" applyFont="1" applyFill="1" applyBorder="1" applyAlignment="1">
      <alignment horizontal="right" vertical="center"/>
    </xf>
    <xf numFmtId="3" fontId="15" fillId="0" borderId="4" xfId="2" applyNumberFormat="1" applyFont="1" applyFill="1" applyBorder="1" applyAlignment="1">
      <alignment vertical="center"/>
    </xf>
    <xf numFmtId="44" fontId="8" fillId="0" borderId="0" xfId="4" applyFont="1" applyBorder="1" applyAlignment="1">
      <alignment horizontal="left"/>
    </xf>
    <xf numFmtId="0" fontId="8" fillId="0" borderId="0" xfId="2" applyFont="1" applyAlignment="1">
      <alignment vertical="center"/>
    </xf>
    <xf numFmtId="0" fontId="16" fillId="0" borderId="0" xfId="6" applyFont="1"/>
    <xf numFmtId="0" fontId="8" fillId="0" borderId="0" xfId="2" applyFont="1" applyFill="1" applyAlignment="1">
      <alignment vertical="center"/>
    </xf>
    <xf numFmtId="165" fontId="17" fillId="0" borderId="0" xfId="4" applyNumberFormat="1" applyFont="1" applyAlignment="1">
      <alignment horizontal="left"/>
    </xf>
    <xf numFmtId="0" fontId="8" fillId="0" borderId="0" xfId="0" applyFont="1" applyBorder="1"/>
    <xf numFmtId="44" fontId="8" fillId="0" borderId="0" xfId="4" applyFont="1" applyBorder="1"/>
    <xf numFmtId="0" fontId="11" fillId="4" borderId="4" xfId="2" applyFont="1" applyFill="1" applyBorder="1" applyAlignment="1">
      <alignment vertical="center"/>
    </xf>
    <xf numFmtId="44" fontId="18" fillId="0" borderId="0" xfId="4" applyFont="1" applyBorder="1"/>
    <xf numFmtId="0" fontId="16" fillId="0" borderId="0" xfId="0" applyFont="1"/>
    <xf numFmtId="0" fontId="18" fillId="0" borderId="0" xfId="0" applyFont="1" applyBorder="1"/>
    <xf numFmtId="0" fontId="16" fillId="0" borderId="0" xfId="6" applyFont="1" applyFill="1"/>
    <xf numFmtId="0" fontId="9" fillId="0" borderId="0" xfId="3" applyFont="1" applyFill="1"/>
    <xf numFmtId="4" fontId="3" fillId="0" borderId="4" xfId="2" applyNumberFormat="1" applyFont="1" applyFill="1" applyBorder="1" applyAlignment="1">
      <alignment vertical="center"/>
    </xf>
    <xf numFmtId="0" fontId="4" fillId="0" borderId="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vertical="center"/>
    </xf>
    <xf numFmtId="0" fontId="12" fillId="0" borderId="4" xfId="5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vertical="center" wrapText="1"/>
    </xf>
    <xf numFmtId="0" fontId="18" fillId="0" borderId="0" xfId="0" applyFont="1" applyBorder="1" applyAlignment="1">
      <alignment horizontal="left"/>
    </xf>
    <xf numFmtId="164" fontId="11" fillId="0" borderId="4" xfId="2" applyNumberFormat="1" applyFont="1" applyFill="1" applyBorder="1" applyAlignment="1">
      <alignment vertical="center"/>
    </xf>
    <xf numFmtId="0" fontId="0" fillId="0" borderId="0" xfId="0" applyFill="1"/>
    <xf numFmtId="44" fontId="18" fillId="0" borderId="0" xfId="4" applyFont="1" applyFill="1" applyBorder="1"/>
    <xf numFmtId="0" fontId="13" fillId="0" borderId="4" xfId="2" applyFont="1" applyFill="1" applyBorder="1" applyAlignment="1">
      <alignment vertical="center"/>
    </xf>
    <xf numFmtId="44" fontId="8" fillId="0" borderId="0" xfId="4" applyFont="1" applyFill="1" applyBorder="1"/>
    <xf numFmtId="165" fontId="17" fillId="0" borderId="0" xfId="4" applyNumberFormat="1" applyFont="1" applyFill="1" applyAlignment="1">
      <alignment horizontal="left"/>
    </xf>
    <xf numFmtId="0" fontId="3" fillId="0" borderId="4" xfId="2" applyFont="1" applyBorder="1" applyAlignment="1">
      <alignment vertical="center"/>
    </xf>
    <xf numFmtId="0" fontId="19" fillId="0" borderId="4" xfId="2" applyNumberFormat="1" applyFont="1" applyFill="1" applyBorder="1" applyAlignment="1">
      <alignment horizontal="left" vertical="center"/>
    </xf>
    <xf numFmtId="0" fontId="11" fillId="0" borderId="4" xfId="2" applyFont="1" applyBorder="1" applyAlignment="1">
      <alignment vertical="center"/>
    </xf>
    <xf numFmtId="0" fontId="11" fillId="0" borderId="4" xfId="2" applyFont="1" applyBorder="1" applyAlignment="1">
      <alignment horizontal="center" vertical="center"/>
    </xf>
    <xf numFmtId="44" fontId="13" fillId="4" borderId="4" xfId="7" applyFont="1" applyFill="1" applyBorder="1" applyAlignment="1">
      <alignment horizontal="right" vertical="center"/>
    </xf>
    <xf numFmtId="44" fontId="13" fillId="0" borderId="4" xfId="7" applyFont="1" applyFill="1" applyBorder="1" applyAlignment="1">
      <alignment horizontal="right" vertical="center"/>
    </xf>
    <xf numFmtId="4" fontId="11" fillId="0" borderId="4" xfId="2" applyNumberFormat="1" applyFont="1" applyBorder="1" applyAlignment="1">
      <alignment vertical="center"/>
    </xf>
    <xf numFmtId="4" fontId="19" fillId="0" borderId="4" xfId="2" applyNumberFormat="1" applyFont="1" applyBorder="1" applyAlignment="1">
      <alignment horizontal="left" vertical="center"/>
    </xf>
    <xf numFmtId="44" fontId="11" fillId="0" borderId="4" xfId="7" applyFont="1" applyFill="1" applyBorder="1" applyAlignment="1">
      <alignment horizontal="right" vertical="center"/>
    </xf>
    <xf numFmtId="44" fontId="11" fillId="4" borderId="4" xfId="7" applyFont="1" applyFill="1" applyBorder="1" applyAlignment="1">
      <alignment horizontal="right" vertical="center"/>
    </xf>
    <xf numFmtId="3" fontId="20" fillId="0" borderId="4" xfId="2" applyNumberFormat="1" applyFont="1" applyFill="1" applyBorder="1" applyAlignment="1">
      <alignment horizontal="right" vertical="center"/>
    </xf>
    <xf numFmtId="0" fontId="11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44" fontId="11" fillId="4" borderId="0" xfId="7" applyFont="1" applyFill="1" applyAlignment="1">
      <alignment horizontal="left" vertical="center"/>
    </xf>
    <xf numFmtId="44" fontId="11" fillId="0" borderId="0" xfId="7" applyFont="1" applyFill="1" applyAlignment="1">
      <alignment horizontal="left" vertical="center"/>
    </xf>
    <xf numFmtId="44" fontId="3" fillId="0" borderId="0" xfId="7" applyFont="1" applyFill="1" applyAlignment="1">
      <alignment horizontal="left" vertical="center"/>
    </xf>
    <xf numFmtId="44" fontId="3" fillId="4" borderId="0" xfId="7" applyFont="1" applyFill="1" applyAlignment="1">
      <alignment horizontal="left" vertical="center"/>
    </xf>
    <xf numFmtId="44" fontId="5" fillId="0" borderId="0" xfId="7" applyFont="1" applyAlignment="1">
      <alignment horizontal="center"/>
    </xf>
    <xf numFmtId="166" fontId="11" fillId="0" borderId="0" xfId="7" applyNumberFormat="1" applyFont="1" applyFill="1" applyBorder="1" applyAlignment="1">
      <alignment horizontal="right" vertical="center"/>
    </xf>
    <xf numFmtId="0" fontId="13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4" fontId="11" fillId="0" borderId="0" xfId="2" applyNumberFormat="1" applyFont="1" applyAlignment="1">
      <alignment vertical="center"/>
    </xf>
    <xf numFmtId="43" fontId="11" fillId="4" borderId="0" xfId="8" applyFont="1" applyFill="1" applyAlignment="1">
      <alignment horizontal="left" vertical="center"/>
    </xf>
    <xf numFmtId="43" fontId="11" fillId="0" borderId="0" xfId="8" applyFont="1" applyFill="1" applyAlignment="1">
      <alignment horizontal="left" vertical="center"/>
    </xf>
    <xf numFmtId="3" fontId="5" fillId="0" borderId="0" xfId="9" applyNumberFormat="1" applyFont="1" applyAlignment="1">
      <alignment horizontal="center"/>
    </xf>
    <xf numFmtId="3" fontId="11" fillId="4" borderId="0" xfId="2" applyNumberFormat="1" applyFont="1" applyFill="1" applyBorder="1" applyAlignment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0" fontId="13" fillId="0" borderId="0" xfId="2" applyFont="1" applyBorder="1" applyAlignment="1">
      <alignment horizontal="center" vertical="center"/>
    </xf>
    <xf numFmtId="44" fontId="11" fillId="0" borderId="0" xfId="1" applyFont="1" applyAlignment="1">
      <alignment horizontal="center" vertical="center"/>
    </xf>
    <xf numFmtId="44" fontId="11" fillId="0" borderId="0" xfId="1" applyFont="1" applyAlignment="1">
      <alignment vertical="center"/>
    </xf>
    <xf numFmtId="44" fontId="11" fillId="0" borderId="0" xfId="1" applyFont="1" applyFill="1" applyAlignment="1">
      <alignment horizontal="left" vertical="center"/>
    </xf>
    <xf numFmtId="44" fontId="11" fillId="0" borderId="0" xfId="1" applyFont="1" applyAlignment="1">
      <alignment horizontal="left" vertical="center"/>
    </xf>
    <xf numFmtId="44" fontId="11" fillId="0" borderId="0" xfId="1" applyFont="1" applyFill="1" applyAlignment="1">
      <alignment vertical="center"/>
    </xf>
    <xf numFmtId="44" fontId="11" fillId="0" borderId="0" xfId="1" applyFont="1" applyFill="1" applyAlignment="1">
      <alignment horizontal="center" vertical="center"/>
    </xf>
    <xf numFmtId="44" fontId="9" fillId="0" borderId="0" xfId="1" applyFont="1"/>
    <xf numFmtId="44" fontId="8" fillId="0" borderId="0" xfId="1" applyFont="1" applyAlignment="1">
      <alignment vertical="center"/>
    </xf>
    <xf numFmtId="44" fontId="0" fillId="0" borderId="0" xfId="1" applyFont="1"/>
    <xf numFmtId="44" fontId="0" fillId="0" borderId="0" xfId="0" applyNumberFormat="1"/>
    <xf numFmtId="0" fontId="10" fillId="0" borderId="0" xfId="10"/>
    <xf numFmtId="0" fontId="10" fillId="0" borderId="0" xfId="10" applyFill="1"/>
    <xf numFmtId="0" fontId="10" fillId="0" borderId="0" xfId="11" applyFont="1" applyBorder="1" applyAlignment="1">
      <alignment horizontal="center"/>
    </xf>
    <xf numFmtId="165" fontId="21" fillId="0" borderId="0" xfId="12" applyNumberFormat="1" applyFont="1" applyAlignment="1">
      <alignment horizontal="left"/>
    </xf>
    <xf numFmtId="0" fontId="13" fillId="0" borderId="0" xfId="11" applyFont="1" applyAlignment="1">
      <alignment horizontal="left"/>
    </xf>
    <xf numFmtId="44" fontId="11" fillId="0" borderId="0" xfId="13" applyFont="1"/>
    <xf numFmtId="0" fontId="11" fillId="0" borderId="0" xfId="11" applyFont="1"/>
    <xf numFmtId="44" fontId="13" fillId="0" borderId="0" xfId="13" applyFont="1"/>
    <xf numFmtId="0" fontId="10" fillId="0" borderId="0" xfId="11" applyFont="1"/>
    <xf numFmtId="44" fontId="10" fillId="0" borderId="0" xfId="13" applyFont="1"/>
    <xf numFmtId="44" fontId="22" fillId="0" borderId="0" xfId="4" applyFont="1" applyBorder="1"/>
    <xf numFmtId="44" fontId="23" fillId="0" borderId="0" xfId="13" applyFont="1"/>
    <xf numFmtId="44" fontId="24" fillId="0" borderId="0" xfId="4" applyFont="1" applyBorder="1"/>
    <xf numFmtId="0" fontId="25" fillId="0" borderId="0" xfId="11" applyFont="1"/>
    <xf numFmtId="0" fontId="4" fillId="0" borderId="0" xfId="11" applyFont="1" applyAlignment="1">
      <alignment horizontal="center"/>
    </xf>
    <xf numFmtId="0" fontId="26" fillId="0" borderId="0" xfId="9" applyFont="1"/>
    <xf numFmtId="44" fontId="25" fillId="0" borderId="0" xfId="13" applyFont="1"/>
    <xf numFmtId="0" fontId="27" fillId="0" borderId="0" xfId="0" applyFont="1"/>
    <xf numFmtId="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 wrapText="1"/>
    </xf>
    <xf numFmtId="3" fontId="3" fillId="0" borderId="0" xfId="2" applyNumberFormat="1" applyFont="1" applyFill="1" applyAlignment="1">
      <alignment vertical="center"/>
    </xf>
    <xf numFmtId="0" fontId="3" fillId="0" borderId="5" xfId="3" applyFont="1" applyBorder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0" fontId="6" fillId="0" borderId="4" xfId="3" applyFont="1" applyBorder="1" applyAlignment="1">
      <alignment horizontal="left" vertical="justify" wrapText="1"/>
    </xf>
    <xf numFmtId="17" fontId="29" fillId="0" borderId="0" xfId="2" applyNumberFormat="1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 wrapText="1"/>
    </xf>
    <xf numFmtId="0" fontId="3" fillId="0" borderId="2" xfId="3" applyFont="1" applyBorder="1" applyAlignment="1">
      <alignment vertical="center" wrapText="1"/>
    </xf>
    <xf numFmtId="0" fontId="6" fillId="0" borderId="3" xfId="3" applyFont="1" applyBorder="1" applyAlignment="1">
      <alignment horizontal="left" vertical="justify" wrapText="1"/>
    </xf>
    <xf numFmtId="0" fontId="4" fillId="5" borderId="2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/>
    </xf>
    <xf numFmtId="0" fontId="4" fillId="0" borderId="9" xfId="3" applyFont="1" applyBorder="1" applyAlignment="1">
      <alignment horizontal="center" vertical="center" wrapText="1"/>
    </xf>
    <xf numFmtId="0" fontId="4" fillId="0" borderId="10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3" borderId="10" xfId="2" applyNumberFormat="1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vertical="center"/>
    </xf>
    <xf numFmtId="3" fontId="15" fillId="0" borderId="13" xfId="2" applyNumberFormat="1" applyFont="1" applyFill="1" applyBorder="1" applyAlignment="1">
      <alignment vertical="center"/>
    </xf>
    <xf numFmtId="0" fontId="13" fillId="0" borderId="4" xfId="5" applyFont="1" applyFill="1" applyBorder="1" applyAlignment="1">
      <alignment horizontal="left" vertical="center" wrapText="1"/>
    </xf>
    <xf numFmtId="0" fontId="11" fillId="0" borderId="13" xfId="2" applyFont="1" applyFill="1" applyBorder="1" applyAlignment="1">
      <alignment horizontal="center" vertical="center"/>
    </xf>
    <xf numFmtId="0" fontId="14" fillId="0" borderId="13" xfId="5" applyFont="1" applyFill="1" applyBorder="1" applyAlignment="1">
      <alignment horizontal="left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4" xfId="2" applyNumberFormat="1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left" vertical="center" wrapText="1"/>
    </xf>
    <xf numFmtId="0" fontId="3" fillId="0" borderId="0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168" fontId="11" fillId="0" borderId="0" xfId="2" applyNumberFormat="1" applyFont="1" applyFill="1" applyAlignment="1">
      <alignment horizontal="left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2" applyNumberFormat="1" applyFont="1" applyFill="1" applyAlignment="1">
      <alignment horizontal="left" vertical="center"/>
    </xf>
    <xf numFmtId="4" fontId="11" fillId="0" borderId="0" xfId="2" applyNumberFormat="1" applyFont="1" applyFill="1" applyAlignment="1">
      <alignment horizontal="center" vertical="center"/>
    </xf>
    <xf numFmtId="168" fontId="11" fillId="0" borderId="0" xfId="2" applyNumberFormat="1" applyFont="1" applyFill="1" applyAlignment="1">
      <alignment horizontal="center" vertical="center"/>
    </xf>
    <xf numFmtId="168" fontId="11" fillId="0" borderId="0" xfId="2" applyNumberFormat="1" applyFont="1" applyFill="1" applyAlignment="1">
      <alignment vertical="center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169" fontId="11" fillId="0" borderId="4" xfId="2" applyNumberFormat="1" applyFont="1" applyFill="1" applyBorder="1" applyAlignment="1">
      <alignment horizontal="right" vertical="center"/>
    </xf>
    <xf numFmtId="0" fontId="19" fillId="0" borderId="0" xfId="2" applyNumberFormat="1" applyFont="1" applyFill="1" applyBorder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4" fontId="19" fillId="0" borderId="0" xfId="2" applyNumberFormat="1" applyFont="1" applyAlignment="1">
      <alignment horizontal="left" vertical="center"/>
    </xf>
    <xf numFmtId="44" fontId="11" fillId="6" borderId="4" xfId="7" applyFont="1" applyFill="1" applyBorder="1" applyAlignment="1">
      <alignment horizontal="right" vertical="center"/>
    </xf>
    <xf numFmtId="4" fontId="11" fillId="0" borderId="0" xfId="2" applyNumberFormat="1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44">
    <cellStyle name="Euro" xfId="14"/>
    <cellStyle name="Millares 2" xfId="8"/>
    <cellStyle name="Millares 3" xfId="15"/>
    <cellStyle name="Millares 4" xfId="16"/>
    <cellStyle name="Moneda" xfId="1" builtinId="4"/>
    <cellStyle name="Moneda 2" xfId="12"/>
    <cellStyle name="Moneda 2 2" xfId="17"/>
    <cellStyle name="Moneda 3" xfId="18"/>
    <cellStyle name="Moneda 3 2" xfId="19"/>
    <cellStyle name="Moneda 3 3" xfId="20"/>
    <cellStyle name="Moneda 3 3 2" xfId="21"/>
    <cellStyle name="Moneda 3 4" xfId="22"/>
    <cellStyle name="Moneda 4" xfId="23"/>
    <cellStyle name="Moneda 4 2" xfId="24"/>
    <cellStyle name="Moneda 5" xfId="13"/>
    <cellStyle name="Moneda 6" xfId="7"/>
    <cellStyle name="Moneda 6 2" xfId="25"/>
    <cellStyle name="Moneda 7" xfId="4"/>
    <cellStyle name="Moneda 8" xfId="26"/>
    <cellStyle name="Normal" xfId="0" builtinId="0"/>
    <cellStyle name="Normal 12" xfId="27"/>
    <cellStyle name="Normal 2" xfId="28"/>
    <cellStyle name="Normal 2 2" xfId="9"/>
    <cellStyle name="Normal 2 3" xfId="10"/>
    <cellStyle name="Normal 2 4" xfId="6"/>
    <cellStyle name="Normal 3" xfId="29"/>
    <cellStyle name="Normal 3 2" xfId="30"/>
    <cellStyle name="Normal 3 2 2" xfId="31"/>
    <cellStyle name="Normal 3 3" xfId="5"/>
    <cellStyle name="Normal 3 3 2" xfId="32"/>
    <cellStyle name="Normal 4" xfId="33"/>
    <cellStyle name="Normal 4 2" xfId="34"/>
    <cellStyle name="Normal 5" xfId="35"/>
    <cellStyle name="Normal 5 2" xfId="11"/>
    <cellStyle name="Normal 6" xfId="3"/>
    <cellStyle name="Normal 6 2" xfId="36"/>
    <cellStyle name="Normal 6 3" xfId="37"/>
    <cellStyle name="Normal 7" xfId="38"/>
    <cellStyle name="Normal 8" xfId="39"/>
    <cellStyle name="Normal 8 2" xfId="40"/>
    <cellStyle name="Normal 9" xfId="41"/>
    <cellStyle name="Normal_~9885111" xfId="2"/>
    <cellStyle name="Porcentaje 2" xfId="42"/>
    <cellStyle name="Porcentu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171450</xdr:rowOff>
    </xdr:from>
    <xdr:to>
      <xdr:col>15</xdr:col>
      <xdr:colOff>581025</xdr:colOff>
      <xdr:row>0</xdr:row>
      <xdr:rowOff>647700</xdr:rowOff>
    </xdr:to>
    <xdr:pic>
      <xdr:nvPicPr>
        <xdr:cNvPr id="2" name="1 Imagen" descr="logo gob de jalisco horizontal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2300" y="171450"/>
          <a:ext cx="229552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2505075</xdr:colOff>
      <xdr:row>5</xdr:row>
      <xdr:rowOff>276225</xdr:rowOff>
    </xdr:from>
    <xdr:to>
      <xdr:col>4</xdr:col>
      <xdr:colOff>247650</xdr:colOff>
      <xdr:row>5</xdr:row>
      <xdr:rowOff>752475</xdr:rowOff>
    </xdr:to>
    <xdr:pic>
      <xdr:nvPicPr>
        <xdr:cNvPr id="2" name="1 Imagen" descr="logo gob de jalisco horizontal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6550" y="276225"/>
          <a:ext cx="18954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B143"/>
  <sheetViews>
    <sheetView tabSelected="1" workbookViewId="0">
      <selection activeCell="C3" sqref="C3"/>
    </sheetView>
  </sheetViews>
  <sheetFormatPr baseColWidth="10" defaultColWidth="6.42578125" defaultRowHeight="15" x14ac:dyDescent="0.25"/>
  <cols>
    <col min="1" max="1" width="3.28515625" customWidth="1"/>
    <col min="9" max="9" width="37.7109375" customWidth="1"/>
    <col min="10" max="10" width="15.5703125" hidden="1" customWidth="1"/>
    <col min="12" max="12" width="0" hidden="1" customWidth="1"/>
    <col min="16" max="16" width="29.85546875" bestFit="1" customWidth="1"/>
    <col min="17" max="17" width="40.7109375" bestFit="1" customWidth="1"/>
    <col min="18" max="18" width="38.85546875" bestFit="1" customWidth="1"/>
    <col min="19" max="19" width="14.42578125" bestFit="1" customWidth="1"/>
    <col min="21" max="21" width="15.140625" bestFit="1" customWidth="1"/>
    <col min="22" max="22" width="14.140625" bestFit="1" customWidth="1"/>
    <col min="23" max="23" width="12.5703125" bestFit="1" customWidth="1"/>
    <col min="24" max="24" width="14" bestFit="1" customWidth="1"/>
    <col min="25" max="25" width="11.5703125" bestFit="1" customWidth="1"/>
    <col min="26" max="26" width="14.140625" bestFit="1" customWidth="1"/>
    <col min="27" max="28" width="12.5703125" bestFit="1" customWidth="1"/>
    <col min="29" max="29" width="12.85546875" bestFit="1" customWidth="1"/>
    <col min="30" max="30" width="12.5703125" bestFit="1" customWidth="1"/>
    <col min="31" max="31" width="12" hidden="1" customWidth="1"/>
    <col min="32" max="35" width="11" hidden="1" customWidth="1"/>
    <col min="36" max="36" width="10" hidden="1" customWidth="1"/>
    <col min="37" max="38" width="11" hidden="1" customWidth="1"/>
    <col min="39" max="40" width="10" hidden="1" customWidth="1"/>
    <col min="41" max="42" width="11" hidden="1" customWidth="1"/>
    <col min="43" max="43" width="12" customWidth="1"/>
    <col min="44" max="44" width="12.5703125" bestFit="1" customWidth="1"/>
    <col min="45" max="45" width="14.140625" bestFit="1" customWidth="1"/>
    <col min="46" max="46" width="13.42578125" bestFit="1" customWidth="1"/>
    <col min="47" max="47" width="15.140625" bestFit="1" customWidth="1"/>
  </cols>
  <sheetData>
    <row r="1" spans="1:950 1098:3029 3177:3974 4122:5108 5256:6053 6201:8132 8280:9077 9225:10211 10359:11156 11304:13235 13383:15314 15462:16070" s="10" customFormat="1" ht="82.5" customHeight="1" x14ac:dyDescent="0.25">
      <c r="A1" s="1"/>
      <c r="B1" s="2"/>
      <c r="C1" s="2"/>
      <c r="D1" s="2"/>
      <c r="E1" s="2"/>
      <c r="F1" s="2"/>
      <c r="G1" s="2"/>
      <c r="H1" s="3"/>
      <c r="I1" s="4" t="s">
        <v>0</v>
      </c>
      <c r="J1" s="2"/>
      <c r="K1" s="2"/>
      <c r="L1" s="2"/>
      <c r="M1" s="2"/>
      <c r="N1" s="2"/>
      <c r="O1" s="5"/>
      <c r="P1" s="1"/>
      <c r="Q1" s="6"/>
      <c r="R1" s="6"/>
      <c r="S1" s="6"/>
      <c r="T1" s="6"/>
      <c r="U1" s="6"/>
      <c r="V1" s="7" t="s">
        <v>1</v>
      </c>
      <c r="W1" s="7"/>
      <c r="X1" s="1"/>
      <c r="Y1" s="6"/>
      <c r="Z1" s="7"/>
      <c r="AA1" s="7"/>
      <c r="AB1" s="7"/>
      <c r="AC1" s="7"/>
      <c r="AD1" s="8"/>
      <c r="AE1" s="8"/>
      <c r="AF1" s="8"/>
      <c r="AG1" s="9"/>
      <c r="AH1" s="8"/>
      <c r="AI1" s="8"/>
      <c r="AJ1" s="9"/>
      <c r="AK1" s="8"/>
      <c r="AL1" s="8"/>
      <c r="AN1" s="8"/>
      <c r="AO1" s="8"/>
      <c r="AP1" s="8"/>
      <c r="AQ1" s="8"/>
      <c r="AR1" s="11"/>
      <c r="AS1" s="7"/>
      <c r="AT1" s="12"/>
      <c r="AU1" s="13"/>
      <c r="AV1" s="14"/>
      <c r="AW1" s="15"/>
      <c r="AX1" s="15"/>
      <c r="AY1" s="16"/>
      <c r="AZ1" s="16"/>
      <c r="BA1" s="17"/>
      <c r="BB1" s="17"/>
      <c r="BC1" s="17"/>
      <c r="BD1" s="17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950 1098:3029 3177:3974 4122:5108 5256:6053 6201:8132 8280:9077 9225:10211 10359:11156 11304:13235 13383:15314 15462:16070" s="1" customFormat="1" ht="27.75" customHeight="1" x14ac:dyDescent="0.25">
      <c r="B2" s="2"/>
      <c r="C2" s="2"/>
      <c r="D2" s="2"/>
      <c r="E2" s="2"/>
      <c r="F2" s="2"/>
      <c r="G2" s="2"/>
      <c r="H2" s="2"/>
      <c r="I2" s="18" t="s">
        <v>2</v>
      </c>
      <c r="J2" s="2"/>
      <c r="K2" s="2"/>
      <c r="L2" s="2"/>
      <c r="M2" s="2"/>
      <c r="N2" s="2"/>
      <c r="O2" s="5"/>
      <c r="P2" s="19" t="s">
        <v>3</v>
      </c>
      <c r="Q2" s="7"/>
      <c r="R2" s="18" t="s">
        <v>4</v>
      </c>
      <c r="S2" s="6"/>
      <c r="T2" s="6"/>
      <c r="U2" s="6"/>
      <c r="V2" s="7"/>
      <c r="W2" s="7"/>
      <c r="Y2" s="6"/>
      <c r="Z2" s="7"/>
      <c r="AA2" s="7"/>
      <c r="AB2" s="7"/>
      <c r="AC2" s="7"/>
      <c r="AD2" s="8"/>
      <c r="AE2" s="8"/>
      <c r="AF2" s="8"/>
      <c r="AG2" s="9"/>
      <c r="AH2" s="8"/>
      <c r="AI2" s="8"/>
      <c r="AJ2" s="9"/>
      <c r="AK2" s="8"/>
      <c r="AL2" s="8"/>
      <c r="AM2" s="8"/>
      <c r="AN2" s="8"/>
      <c r="AO2" s="8"/>
      <c r="AP2" s="8"/>
      <c r="AQ2" s="8"/>
      <c r="AR2" s="11"/>
      <c r="AS2" s="7"/>
      <c r="AT2" s="12"/>
      <c r="AU2" s="13"/>
      <c r="AV2" s="14"/>
      <c r="AW2" s="15"/>
      <c r="AX2" s="15"/>
      <c r="AY2" s="16"/>
      <c r="AZ2" s="16"/>
      <c r="BA2" s="17"/>
      <c r="BB2" s="17"/>
      <c r="BC2" s="17"/>
      <c r="BD2" s="17"/>
    </row>
    <row r="3" spans="1:950 1098:3029 3177:3974 4122:5108 5256:6053 6201:8132 8280:9077 9225:10211 10359:11156 11304:13235 13383:15314 15462:16070" s="20" customFormat="1" ht="47.25" customHeight="1" x14ac:dyDescent="0.25">
      <c r="B3" s="21"/>
      <c r="C3" s="21"/>
      <c r="D3" s="21"/>
      <c r="E3" s="21"/>
      <c r="F3" s="21"/>
      <c r="G3" s="22"/>
      <c r="H3" s="22"/>
      <c r="J3" s="23"/>
      <c r="K3" s="23"/>
      <c r="L3" s="21"/>
      <c r="M3" s="21"/>
      <c r="N3" s="21"/>
      <c r="R3" s="178" t="s">
        <v>5</v>
      </c>
      <c r="S3" s="179"/>
      <c r="T3" s="179"/>
      <c r="U3" s="179"/>
      <c r="V3" s="180"/>
      <c r="W3" s="181" t="s">
        <v>6</v>
      </c>
      <c r="X3" s="182"/>
      <c r="Y3" s="182"/>
      <c r="Z3" s="182"/>
      <c r="AA3" s="183"/>
      <c r="AB3" s="181" t="s">
        <v>7</v>
      </c>
      <c r="AC3" s="183"/>
      <c r="AD3" s="184"/>
      <c r="AE3" s="185"/>
      <c r="AF3" s="185"/>
      <c r="AG3" s="185"/>
      <c r="AH3" s="24"/>
      <c r="AJ3" s="25"/>
      <c r="AQ3" s="26"/>
      <c r="AR3" s="184" t="s">
        <v>8</v>
      </c>
      <c r="AS3" s="185"/>
      <c r="AT3" s="185"/>
      <c r="AU3" s="185"/>
    </row>
    <row r="4" spans="1:950 1098:3029 3177:3974 4122:5108 5256:6053 6201:8132 8280:9077 9225:10211 10359:11156 11304:13235 13383:15314 15462:16070" s="10" customFormat="1" ht="67.5" x14ac:dyDescent="0.25">
      <c r="B4" s="27" t="s">
        <v>9</v>
      </c>
      <c r="C4" s="27" t="s">
        <v>10</v>
      </c>
      <c r="D4" s="27" t="s">
        <v>11</v>
      </c>
      <c r="E4" s="27" t="s">
        <v>12</v>
      </c>
      <c r="F4" s="27" t="s">
        <v>13</v>
      </c>
      <c r="G4" s="27" t="s">
        <v>14</v>
      </c>
      <c r="H4" s="27" t="s">
        <v>15</v>
      </c>
      <c r="I4" s="27" t="s">
        <v>16</v>
      </c>
      <c r="J4" s="27" t="s">
        <v>17</v>
      </c>
      <c r="K4" s="27"/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27" t="s">
        <v>23</v>
      </c>
      <c r="R4" s="27" t="s">
        <v>24</v>
      </c>
      <c r="S4" s="27" t="s">
        <v>25</v>
      </c>
      <c r="T4" s="27" t="s">
        <v>26</v>
      </c>
      <c r="U4" s="27" t="s">
        <v>27</v>
      </c>
      <c r="V4" s="27" t="s">
        <v>28</v>
      </c>
      <c r="W4" s="27" t="s">
        <v>29</v>
      </c>
      <c r="X4" s="27" t="s">
        <v>30</v>
      </c>
      <c r="Y4" s="27" t="s">
        <v>31</v>
      </c>
      <c r="Z4" s="27" t="s">
        <v>32</v>
      </c>
      <c r="AA4" s="27" t="s">
        <v>33</v>
      </c>
      <c r="AB4" s="27" t="s">
        <v>34</v>
      </c>
      <c r="AC4" s="27" t="s">
        <v>35</v>
      </c>
      <c r="AD4" s="27" t="s">
        <v>36</v>
      </c>
      <c r="AE4" s="27" t="s">
        <v>37</v>
      </c>
      <c r="AF4" s="27" t="s">
        <v>38</v>
      </c>
      <c r="AG4" s="27" t="s">
        <v>39</v>
      </c>
      <c r="AH4" s="27" t="s">
        <v>40</v>
      </c>
      <c r="AI4" s="27" t="s">
        <v>41</v>
      </c>
      <c r="AJ4" s="27" t="s">
        <v>42</v>
      </c>
      <c r="AK4" s="27" t="s">
        <v>43</v>
      </c>
      <c r="AL4" s="27" t="s">
        <v>44</v>
      </c>
      <c r="AM4" s="27" t="s">
        <v>45</v>
      </c>
      <c r="AN4" s="27" t="s">
        <v>46</v>
      </c>
      <c r="AO4" s="27" t="s">
        <v>47</v>
      </c>
      <c r="AP4" s="27" t="s">
        <v>48</v>
      </c>
      <c r="AQ4" s="27" t="s">
        <v>49</v>
      </c>
      <c r="AR4" s="27" t="s">
        <v>50</v>
      </c>
      <c r="AS4" s="27" t="s">
        <v>51</v>
      </c>
      <c r="AT4" s="27" t="s">
        <v>52</v>
      </c>
      <c r="AU4" s="27" t="s">
        <v>53</v>
      </c>
      <c r="AV4" s="28"/>
      <c r="AW4" s="29"/>
      <c r="AX4" s="29"/>
      <c r="AY4" s="29"/>
      <c r="AZ4" s="29"/>
      <c r="BA4" s="30"/>
      <c r="BB4" s="30"/>
      <c r="BC4" s="30"/>
      <c r="BD4" s="30"/>
    </row>
    <row r="5" spans="1:950 1098:3029 3177:3974 4122:5108 5256:6053 6201:8132 8280:9077 9225:10211 10359:11156 11304:13235 13383:15314 15462:16070" ht="18" x14ac:dyDescent="0.25">
      <c r="A5" s="31"/>
      <c r="B5" s="32">
        <v>1</v>
      </c>
      <c r="C5" s="33">
        <v>10</v>
      </c>
      <c r="D5" s="33">
        <v>1</v>
      </c>
      <c r="E5" s="32">
        <v>20</v>
      </c>
      <c r="F5" s="32">
        <v>1</v>
      </c>
      <c r="G5" s="32">
        <v>270</v>
      </c>
      <c r="H5" s="32"/>
      <c r="I5" s="34" t="s">
        <v>54</v>
      </c>
      <c r="J5" s="35" t="s">
        <v>55</v>
      </c>
      <c r="K5" s="37">
        <f>2014-1995</f>
        <v>19</v>
      </c>
      <c r="L5" s="33" t="s">
        <v>56</v>
      </c>
      <c r="M5" s="33">
        <v>6</v>
      </c>
      <c r="N5" s="33">
        <v>30</v>
      </c>
      <c r="O5" s="33" t="s">
        <v>57</v>
      </c>
      <c r="P5" s="38" t="s">
        <v>58</v>
      </c>
      <c r="Q5" s="39" t="s">
        <v>59</v>
      </c>
      <c r="R5" s="39" t="s">
        <v>60</v>
      </c>
      <c r="S5" s="40">
        <v>8051.1</v>
      </c>
      <c r="T5" s="40">
        <v>0</v>
      </c>
      <c r="U5" s="40">
        <f t="shared" ref="U5:U68" si="0">+S5+T5</f>
        <v>8051.1</v>
      </c>
      <c r="V5" s="40">
        <v>767</v>
      </c>
      <c r="W5" s="40">
        <v>513</v>
      </c>
      <c r="X5" s="40">
        <v>438.24</v>
      </c>
      <c r="Y5" s="40">
        <v>0</v>
      </c>
      <c r="Z5" s="40">
        <f>(U5+X5)*15%</f>
        <v>1273.4010000000001</v>
      </c>
      <c r="AA5" s="40">
        <f t="shared" ref="AA5:AA68" si="1">(U5+X5)*3%</f>
        <v>254.68019999999999</v>
      </c>
      <c r="AB5" s="41">
        <v>565.23</v>
      </c>
      <c r="AC5" s="40">
        <f t="shared" ref="AC5:AC68" si="2">(U5+X5)*2%</f>
        <v>169.7868</v>
      </c>
      <c r="AD5" s="40">
        <f t="shared" ref="AD5:AD66" si="3">U5/30*15</f>
        <v>4025.55</v>
      </c>
      <c r="AE5" s="42">
        <v>338</v>
      </c>
      <c r="AF5" s="42">
        <v>70.099999999999994</v>
      </c>
      <c r="AG5" s="40">
        <f>(AE5+AF5)*15%</f>
        <v>61.215000000000003</v>
      </c>
      <c r="AH5" s="40">
        <f t="shared" ref="AH5:AH68" si="4">(AE5+AF5)*3%</f>
        <v>12.243</v>
      </c>
      <c r="AI5" s="40">
        <f t="shared" ref="AI5:AI68" si="5">Z5*4%</f>
        <v>50.936040000000006</v>
      </c>
      <c r="AJ5" s="40">
        <f t="shared" ref="AJ5:AJ68" si="6">(AE5+AF5)*2%</f>
        <v>8.1620000000000008</v>
      </c>
      <c r="AK5" s="42">
        <f t="shared" ref="AK5:AL61" si="7">AB5*4%</f>
        <v>22.609200000000001</v>
      </c>
      <c r="AL5" s="42">
        <f t="shared" si="7"/>
        <v>6.7914719999999997</v>
      </c>
      <c r="AM5" s="42">
        <v>0</v>
      </c>
      <c r="AN5" s="42">
        <f t="shared" ref="AN5:AN68" si="8">AE5/30*5</f>
        <v>56.333333333333336</v>
      </c>
      <c r="AO5" s="42">
        <f t="shared" ref="AO5:AO68" si="9">AE5/30*15</f>
        <v>169</v>
      </c>
      <c r="AP5" s="42">
        <f t="shared" ref="AP5:AP68" si="10">AE5/30*50</f>
        <v>563.33333333333337</v>
      </c>
      <c r="AQ5" s="42">
        <f t="shared" ref="AQ5:AQ68" si="11">SUM(AE5+AF5+AG5+AH5+AI5+AJ5+AK5+AL5)*12+(AM5+AN5+AO5+AP5)</f>
        <v>7629.3472106666677</v>
      </c>
      <c r="AR5" s="40">
        <f t="shared" ref="AR5:AR68" si="12">+U5/30*5</f>
        <v>1341.85</v>
      </c>
      <c r="AS5" s="40">
        <f t="shared" ref="AS5:AS68" si="13">+U5/30*50</f>
        <v>13418.5</v>
      </c>
      <c r="AT5" s="40">
        <v>7200</v>
      </c>
      <c r="AU5" s="40">
        <f>(U5+V5+W5+X5+Z5+AA5+AB5+AC5)*12+(Y5+AV5+AD5+AR5+AS5+AT5+AQ5)</f>
        <v>178004.50321066665</v>
      </c>
      <c r="AV5" s="43"/>
      <c r="AW5" s="29"/>
      <c r="AX5" s="29"/>
      <c r="AY5" s="29"/>
      <c r="AZ5" s="29"/>
      <c r="BA5" s="30"/>
      <c r="BB5" s="30"/>
      <c r="BC5" s="30"/>
      <c r="BD5" s="30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</row>
    <row r="6" spans="1:950 1098:3029 3177:3974 4122:5108 5256:6053 6201:8132 8280:9077 9225:10211 10359:11156 11304:13235 13383:15314 15462:16070" ht="18" x14ac:dyDescent="0.25">
      <c r="A6" s="31"/>
      <c r="B6" s="32">
        <v>2</v>
      </c>
      <c r="C6" s="33">
        <v>10</v>
      </c>
      <c r="D6" s="33">
        <v>1</v>
      </c>
      <c r="E6" s="32">
        <v>20</v>
      </c>
      <c r="F6" s="32">
        <v>2</v>
      </c>
      <c r="G6" s="32">
        <v>270</v>
      </c>
      <c r="H6" s="32"/>
      <c r="I6" s="34" t="s">
        <v>61</v>
      </c>
      <c r="J6" s="35" t="s">
        <v>62</v>
      </c>
      <c r="K6" s="37">
        <f>2014-1992</f>
        <v>22</v>
      </c>
      <c r="L6" s="33" t="s">
        <v>63</v>
      </c>
      <c r="M6" s="33">
        <v>3</v>
      </c>
      <c r="N6" s="33">
        <v>30</v>
      </c>
      <c r="O6" s="33" t="s">
        <v>57</v>
      </c>
      <c r="P6" s="38" t="s">
        <v>64</v>
      </c>
      <c r="Q6" s="39" t="s">
        <v>65</v>
      </c>
      <c r="R6" s="39" t="s">
        <v>60</v>
      </c>
      <c r="S6" s="40">
        <v>7227.3</v>
      </c>
      <c r="T6" s="40">
        <v>0</v>
      </c>
      <c r="U6" s="40">
        <f t="shared" si="0"/>
        <v>7227.3</v>
      </c>
      <c r="V6" s="40">
        <v>672</v>
      </c>
      <c r="W6" s="40">
        <v>402</v>
      </c>
      <c r="X6" s="40">
        <v>438.24</v>
      </c>
      <c r="Y6" s="40">
        <v>0</v>
      </c>
      <c r="Z6" s="40">
        <f t="shared" ref="Z6:Z69" si="14">(U6+X6)*15%</f>
        <v>1149.8309999999999</v>
      </c>
      <c r="AA6" s="40">
        <f t="shared" si="1"/>
        <v>229.96619999999999</v>
      </c>
      <c r="AB6" s="41">
        <v>540.51</v>
      </c>
      <c r="AC6" s="40">
        <f t="shared" si="2"/>
        <v>153.3108</v>
      </c>
      <c r="AD6" s="40">
        <f t="shared" si="3"/>
        <v>3613.65</v>
      </c>
      <c r="AE6" s="42">
        <v>375</v>
      </c>
      <c r="AF6" s="42">
        <v>0</v>
      </c>
      <c r="AG6" s="40">
        <f t="shared" ref="AG6:AG69" si="15">(AE6+AF6)*15%</f>
        <v>56.25</v>
      </c>
      <c r="AH6" s="40">
        <f t="shared" si="4"/>
        <v>11.25</v>
      </c>
      <c r="AI6" s="40">
        <f t="shared" si="5"/>
        <v>45.99324</v>
      </c>
      <c r="AJ6" s="40">
        <f t="shared" si="6"/>
        <v>7.5</v>
      </c>
      <c r="AK6" s="42">
        <f t="shared" si="7"/>
        <v>21.6204</v>
      </c>
      <c r="AL6" s="42">
        <f t="shared" si="7"/>
        <v>6.1324320000000005</v>
      </c>
      <c r="AM6" s="42">
        <v>0</v>
      </c>
      <c r="AN6" s="42">
        <f t="shared" si="8"/>
        <v>62.5</v>
      </c>
      <c r="AO6" s="42">
        <f t="shared" si="9"/>
        <v>187.5</v>
      </c>
      <c r="AP6" s="42">
        <f t="shared" si="10"/>
        <v>625</v>
      </c>
      <c r="AQ6" s="42">
        <f t="shared" si="11"/>
        <v>7159.9528640000008</v>
      </c>
      <c r="AR6" s="40">
        <f t="shared" si="12"/>
        <v>1204.55</v>
      </c>
      <c r="AS6" s="40">
        <f t="shared" si="13"/>
        <v>12045.5</v>
      </c>
      <c r="AT6" s="40">
        <v>7200</v>
      </c>
      <c r="AU6" s="40">
        <f>(U6+V6+W6+X6+Z6+AA6+AB6+AC6)*12+(Y6+AV6+AD6+AR6+AS6+AT6+AQ6)</f>
        <v>160981.54886400001</v>
      </c>
      <c r="AV6" s="29"/>
      <c r="AW6" s="29"/>
      <c r="AX6" s="29"/>
      <c r="AY6" s="29"/>
      <c r="AZ6" s="29"/>
      <c r="BA6" s="44"/>
      <c r="BB6" s="44"/>
      <c r="BC6" s="30"/>
      <c r="BD6" s="30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</row>
    <row r="7" spans="1:950 1098:3029 3177:3974 4122:5108 5256:6053 6201:8132 8280:9077 9225:10211 10359:11156 11304:13235 13383:15314 15462:16070" ht="18" x14ac:dyDescent="0.25">
      <c r="A7" s="31"/>
      <c r="B7" s="32">
        <v>3</v>
      </c>
      <c r="C7" s="33">
        <v>10</v>
      </c>
      <c r="D7" s="33">
        <v>1</v>
      </c>
      <c r="E7" s="32">
        <v>20</v>
      </c>
      <c r="F7" s="32">
        <v>3</v>
      </c>
      <c r="G7" s="32">
        <v>270</v>
      </c>
      <c r="H7" s="32"/>
      <c r="I7" s="34" t="s">
        <v>66</v>
      </c>
      <c r="J7" s="35" t="s">
        <v>67</v>
      </c>
      <c r="K7" s="37">
        <f>2014-1989</f>
        <v>25</v>
      </c>
      <c r="L7" s="33" t="s">
        <v>63</v>
      </c>
      <c r="M7" s="33">
        <v>4</v>
      </c>
      <c r="N7" s="33">
        <v>30</v>
      </c>
      <c r="O7" s="33" t="s">
        <v>57</v>
      </c>
      <c r="P7" s="38" t="s">
        <v>68</v>
      </c>
      <c r="Q7" s="39" t="s">
        <v>59</v>
      </c>
      <c r="R7" s="39" t="s">
        <v>60</v>
      </c>
      <c r="S7" s="40">
        <v>7491</v>
      </c>
      <c r="T7" s="40">
        <v>0</v>
      </c>
      <c r="U7" s="40">
        <f t="shared" si="0"/>
        <v>7491</v>
      </c>
      <c r="V7" s="40">
        <v>682</v>
      </c>
      <c r="W7" s="40">
        <v>412</v>
      </c>
      <c r="X7" s="40">
        <v>511.28</v>
      </c>
      <c r="Y7" s="40">
        <v>0</v>
      </c>
      <c r="Z7" s="40">
        <f t="shared" si="14"/>
        <v>1200.3419999999999</v>
      </c>
      <c r="AA7" s="40">
        <f t="shared" si="1"/>
        <v>240.0684</v>
      </c>
      <c r="AB7" s="41">
        <v>548.09</v>
      </c>
      <c r="AC7" s="40">
        <f t="shared" si="2"/>
        <v>160.04560000000001</v>
      </c>
      <c r="AD7" s="40">
        <f t="shared" si="3"/>
        <v>3745.5</v>
      </c>
      <c r="AE7" s="42">
        <v>375</v>
      </c>
      <c r="AF7" s="42">
        <v>70.099999999999994</v>
      </c>
      <c r="AG7" s="40">
        <f t="shared" si="15"/>
        <v>66.765000000000001</v>
      </c>
      <c r="AH7" s="40">
        <f t="shared" si="4"/>
        <v>13.353</v>
      </c>
      <c r="AI7" s="40">
        <f t="shared" si="5"/>
        <v>48.013679999999994</v>
      </c>
      <c r="AJ7" s="40">
        <f t="shared" si="6"/>
        <v>8.902000000000001</v>
      </c>
      <c r="AK7" s="42">
        <f t="shared" si="7"/>
        <v>21.9236</v>
      </c>
      <c r="AL7" s="42">
        <f t="shared" si="7"/>
        <v>6.4018240000000004</v>
      </c>
      <c r="AM7" s="42">
        <v>0</v>
      </c>
      <c r="AN7" s="42">
        <f t="shared" si="8"/>
        <v>62.5</v>
      </c>
      <c r="AO7" s="42">
        <f t="shared" si="9"/>
        <v>187.5</v>
      </c>
      <c r="AP7" s="42">
        <f t="shared" si="10"/>
        <v>625</v>
      </c>
      <c r="AQ7" s="42">
        <f t="shared" si="11"/>
        <v>8200.5092480000003</v>
      </c>
      <c r="AR7" s="40">
        <f t="shared" si="12"/>
        <v>1248.5</v>
      </c>
      <c r="AS7" s="40">
        <f t="shared" si="13"/>
        <v>12485</v>
      </c>
      <c r="AT7" s="40">
        <v>7200</v>
      </c>
      <c r="AU7" s="40">
        <f t="shared" ref="AU7:AU70" si="16">(U7+V7+W7+X7+Z7+AA7+AB7+AC7)*12+(Y7+AV7+AD7+AR7+AS7+AT7+AQ7)</f>
        <v>167817.421248</v>
      </c>
      <c r="AV7" s="29"/>
      <c r="AW7" s="29"/>
      <c r="AX7" s="29"/>
      <c r="AY7" s="29"/>
      <c r="AZ7" s="29"/>
      <c r="BA7" s="44"/>
      <c r="BB7" s="44"/>
      <c r="BC7" s="30"/>
      <c r="BD7" s="30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</row>
    <row r="8" spans="1:950 1098:3029 3177:3974 4122:5108 5256:6053 6201:8132 8280:9077 9225:10211 10359:11156 11304:13235 13383:15314 15462:16070" ht="18" x14ac:dyDescent="0.25">
      <c r="A8" s="31"/>
      <c r="B8" s="32">
        <v>4</v>
      </c>
      <c r="C8" s="33">
        <v>10</v>
      </c>
      <c r="D8" s="33">
        <v>1</v>
      </c>
      <c r="E8" s="32">
        <v>20</v>
      </c>
      <c r="F8" s="32">
        <v>4</v>
      </c>
      <c r="G8" s="32">
        <v>270</v>
      </c>
      <c r="H8" s="32"/>
      <c r="I8" s="34" t="s">
        <v>69</v>
      </c>
      <c r="J8" s="35" t="s">
        <v>70</v>
      </c>
      <c r="K8" s="37">
        <f>2014-1984</f>
        <v>30</v>
      </c>
      <c r="L8" s="33" t="s">
        <v>56</v>
      </c>
      <c r="M8" s="33">
        <v>3</v>
      </c>
      <c r="N8" s="33">
        <v>30</v>
      </c>
      <c r="O8" s="33" t="s">
        <v>57</v>
      </c>
      <c r="P8" s="38" t="s">
        <v>64</v>
      </c>
      <c r="Q8" s="39" t="s">
        <v>65</v>
      </c>
      <c r="R8" s="39" t="s">
        <v>60</v>
      </c>
      <c r="S8" s="40">
        <v>7227.3</v>
      </c>
      <c r="T8" s="40">
        <v>0</v>
      </c>
      <c r="U8" s="40">
        <f t="shared" si="0"/>
        <v>7227.3</v>
      </c>
      <c r="V8" s="40">
        <v>672</v>
      </c>
      <c r="W8" s="40">
        <v>402</v>
      </c>
      <c r="X8" s="40">
        <v>511.28</v>
      </c>
      <c r="Y8" s="40">
        <v>0</v>
      </c>
      <c r="Z8" s="40">
        <f t="shared" si="14"/>
        <v>1160.787</v>
      </c>
      <c r="AA8" s="40">
        <f t="shared" si="1"/>
        <v>232.1574</v>
      </c>
      <c r="AB8" s="41">
        <v>540.65</v>
      </c>
      <c r="AC8" s="40">
        <f t="shared" si="2"/>
        <v>154.77160000000001</v>
      </c>
      <c r="AD8" s="40">
        <f t="shared" si="3"/>
        <v>3613.65</v>
      </c>
      <c r="AE8" s="42">
        <v>375</v>
      </c>
      <c r="AF8" s="42">
        <v>70.099999999999994</v>
      </c>
      <c r="AG8" s="40">
        <f t="shared" si="15"/>
        <v>66.765000000000001</v>
      </c>
      <c r="AH8" s="40">
        <f t="shared" si="4"/>
        <v>13.353</v>
      </c>
      <c r="AI8" s="40">
        <f t="shared" si="5"/>
        <v>46.431480000000001</v>
      </c>
      <c r="AJ8" s="40">
        <f t="shared" si="6"/>
        <v>8.902000000000001</v>
      </c>
      <c r="AK8" s="42">
        <f t="shared" si="7"/>
        <v>21.626000000000001</v>
      </c>
      <c r="AL8" s="42">
        <f t="shared" si="7"/>
        <v>6.1908640000000004</v>
      </c>
      <c r="AM8" s="42">
        <v>0</v>
      </c>
      <c r="AN8" s="42">
        <f t="shared" si="8"/>
        <v>62.5</v>
      </c>
      <c r="AO8" s="42">
        <f t="shared" si="9"/>
        <v>187.5</v>
      </c>
      <c r="AP8" s="42">
        <f t="shared" si="10"/>
        <v>625</v>
      </c>
      <c r="AQ8" s="42">
        <f t="shared" si="11"/>
        <v>8175.4201279999997</v>
      </c>
      <c r="AR8" s="40">
        <f t="shared" si="12"/>
        <v>1204.55</v>
      </c>
      <c r="AS8" s="40">
        <f t="shared" si="13"/>
        <v>12045.5</v>
      </c>
      <c r="AT8" s="40">
        <v>7200</v>
      </c>
      <c r="AU8" s="40">
        <f t="shared" si="16"/>
        <v>163050.47212799999</v>
      </c>
      <c r="AV8" s="45"/>
      <c r="AW8" s="46"/>
      <c r="AX8" s="46"/>
      <c r="AY8" s="29"/>
      <c r="AZ8" s="29"/>
      <c r="BA8" s="30"/>
      <c r="BB8" s="30"/>
      <c r="BC8" s="30"/>
      <c r="BD8" s="30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</row>
    <row r="9" spans="1:950 1098:3029 3177:3974 4122:5108 5256:6053 6201:8132 8280:9077 9225:10211 10359:11156 11304:13235 13383:15314 15462:16070" ht="18" x14ac:dyDescent="0.25">
      <c r="A9" s="31"/>
      <c r="B9" s="32">
        <v>5</v>
      </c>
      <c r="C9" s="33">
        <v>10</v>
      </c>
      <c r="D9" s="33">
        <v>1</v>
      </c>
      <c r="E9" s="32">
        <v>20</v>
      </c>
      <c r="F9" s="32">
        <v>5</v>
      </c>
      <c r="G9" s="32">
        <v>270</v>
      </c>
      <c r="H9" s="32"/>
      <c r="I9" s="34" t="s">
        <v>71</v>
      </c>
      <c r="J9" s="35" t="s">
        <v>72</v>
      </c>
      <c r="K9" s="37">
        <f>2014-1991</f>
        <v>23</v>
      </c>
      <c r="L9" s="33" t="s">
        <v>56</v>
      </c>
      <c r="M9" s="33">
        <v>6</v>
      </c>
      <c r="N9" s="33">
        <v>30</v>
      </c>
      <c r="O9" s="33" t="s">
        <v>57</v>
      </c>
      <c r="P9" s="38" t="s">
        <v>58</v>
      </c>
      <c r="Q9" s="39" t="s">
        <v>73</v>
      </c>
      <c r="R9" s="39" t="s">
        <v>74</v>
      </c>
      <c r="S9" s="40">
        <v>8051.1</v>
      </c>
      <c r="T9" s="40">
        <v>0</v>
      </c>
      <c r="U9" s="40">
        <f t="shared" si="0"/>
        <v>8051.1</v>
      </c>
      <c r="V9" s="40">
        <v>767</v>
      </c>
      <c r="W9" s="40">
        <v>513</v>
      </c>
      <c r="X9" s="40">
        <v>438.24</v>
      </c>
      <c r="Y9" s="40">
        <v>0</v>
      </c>
      <c r="Z9" s="40">
        <f t="shared" si="14"/>
        <v>1273.4010000000001</v>
      </c>
      <c r="AA9" s="40">
        <f t="shared" si="1"/>
        <v>254.68019999999999</v>
      </c>
      <c r="AB9" s="41">
        <v>565.37</v>
      </c>
      <c r="AC9" s="40">
        <f t="shared" si="2"/>
        <v>169.7868</v>
      </c>
      <c r="AD9" s="40">
        <f t="shared" si="3"/>
        <v>4025.55</v>
      </c>
      <c r="AE9" s="42">
        <v>338</v>
      </c>
      <c r="AF9" s="42">
        <v>0</v>
      </c>
      <c r="AG9" s="40">
        <f t="shared" si="15"/>
        <v>50.699999999999996</v>
      </c>
      <c r="AH9" s="40">
        <f t="shared" si="4"/>
        <v>10.139999999999999</v>
      </c>
      <c r="AI9" s="40">
        <f t="shared" si="5"/>
        <v>50.936040000000006</v>
      </c>
      <c r="AJ9" s="40">
        <f t="shared" si="6"/>
        <v>6.76</v>
      </c>
      <c r="AK9" s="42">
        <f t="shared" si="7"/>
        <v>22.614799999999999</v>
      </c>
      <c r="AL9" s="42">
        <f t="shared" si="7"/>
        <v>6.7914719999999997</v>
      </c>
      <c r="AM9" s="42">
        <v>0</v>
      </c>
      <c r="AN9" s="42">
        <f t="shared" si="8"/>
        <v>56.333333333333336</v>
      </c>
      <c r="AO9" s="42">
        <f t="shared" si="9"/>
        <v>169</v>
      </c>
      <c r="AP9" s="42">
        <f t="shared" si="10"/>
        <v>563.33333333333337</v>
      </c>
      <c r="AQ9" s="42">
        <f t="shared" si="11"/>
        <v>6619.9744106666667</v>
      </c>
      <c r="AR9" s="40">
        <f t="shared" si="12"/>
        <v>1341.85</v>
      </c>
      <c r="AS9" s="40">
        <f t="shared" si="13"/>
        <v>13418.5</v>
      </c>
      <c r="AT9" s="40">
        <v>7200</v>
      </c>
      <c r="AU9" s="40">
        <f t="shared" si="16"/>
        <v>176996.81041066669</v>
      </c>
      <c r="AV9" s="47"/>
      <c r="AW9" s="29"/>
      <c r="AX9" s="29"/>
      <c r="AY9" s="29"/>
      <c r="AZ9" s="29"/>
      <c r="BA9" s="30"/>
      <c r="BB9" s="30"/>
      <c r="BC9" s="30"/>
      <c r="BD9" s="30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</row>
    <row r="10" spans="1:950 1098:3029 3177:3974 4122:5108 5256:6053 6201:8132 8280:9077 9225:10211 10359:11156 11304:13235 13383:15314 15462:16070" ht="18" x14ac:dyDescent="0.25">
      <c r="A10" s="31"/>
      <c r="B10" s="32">
        <v>6</v>
      </c>
      <c r="C10" s="33">
        <v>10</v>
      </c>
      <c r="D10" s="33">
        <v>1</v>
      </c>
      <c r="E10" s="32">
        <v>20</v>
      </c>
      <c r="F10" s="32">
        <v>6</v>
      </c>
      <c r="G10" s="32">
        <v>270</v>
      </c>
      <c r="H10" s="32"/>
      <c r="I10" s="34" t="s">
        <v>75</v>
      </c>
      <c r="J10" s="35" t="s">
        <v>76</v>
      </c>
      <c r="K10" s="37">
        <f>2014-2002</f>
        <v>12</v>
      </c>
      <c r="L10" s="33" t="s">
        <v>63</v>
      </c>
      <c r="M10" s="33">
        <v>3</v>
      </c>
      <c r="N10" s="33">
        <v>30</v>
      </c>
      <c r="O10" s="33" t="s">
        <v>57</v>
      </c>
      <c r="P10" s="38" t="s">
        <v>64</v>
      </c>
      <c r="Q10" s="39" t="s">
        <v>65</v>
      </c>
      <c r="R10" s="39" t="s">
        <v>60</v>
      </c>
      <c r="S10" s="40">
        <v>7227.3</v>
      </c>
      <c r="T10" s="40">
        <v>0</v>
      </c>
      <c r="U10" s="40">
        <f t="shared" si="0"/>
        <v>7227.3</v>
      </c>
      <c r="V10" s="40">
        <v>672</v>
      </c>
      <c r="W10" s="40">
        <v>402</v>
      </c>
      <c r="X10" s="40">
        <v>292.16000000000003</v>
      </c>
      <c r="Y10" s="40">
        <v>0</v>
      </c>
      <c r="Z10" s="40">
        <f t="shared" si="14"/>
        <v>1127.9189999999999</v>
      </c>
      <c r="AA10" s="40">
        <f t="shared" si="1"/>
        <v>225.5838</v>
      </c>
      <c r="AB10" s="41">
        <v>540.25</v>
      </c>
      <c r="AC10" s="40">
        <f t="shared" si="2"/>
        <v>150.38920000000002</v>
      </c>
      <c r="AD10" s="40">
        <f t="shared" si="3"/>
        <v>3613.65</v>
      </c>
      <c r="AE10" s="42">
        <v>375</v>
      </c>
      <c r="AF10" s="42">
        <v>0</v>
      </c>
      <c r="AG10" s="40">
        <f t="shared" si="15"/>
        <v>56.25</v>
      </c>
      <c r="AH10" s="40">
        <f t="shared" si="4"/>
        <v>11.25</v>
      </c>
      <c r="AI10" s="40">
        <f t="shared" si="5"/>
        <v>45.116759999999992</v>
      </c>
      <c r="AJ10" s="40">
        <f t="shared" si="6"/>
        <v>7.5</v>
      </c>
      <c r="AK10" s="42">
        <f t="shared" si="7"/>
        <v>21.61</v>
      </c>
      <c r="AL10" s="42">
        <f t="shared" si="7"/>
        <v>6.0155680000000009</v>
      </c>
      <c r="AM10" s="42">
        <v>0</v>
      </c>
      <c r="AN10" s="42">
        <f t="shared" si="8"/>
        <v>62.5</v>
      </c>
      <c r="AO10" s="42">
        <f t="shared" si="9"/>
        <v>187.5</v>
      </c>
      <c r="AP10" s="42">
        <f t="shared" si="10"/>
        <v>625</v>
      </c>
      <c r="AQ10" s="42">
        <f t="shared" si="11"/>
        <v>7147.9079360000005</v>
      </c>
      <c r="AR10" s="40">
        <f t="shared" si="12"/>
        <v>1204.55</v>
      </c>
      <c r="AS10" s="40">
        <f t="shared" si="13"/>
        <v>12045.5</v>
      </c>
      <c r="AT10" s="40">
        <v>7200</v>
      </c>
      <c r="AU10" s="40">
        <f t="shared" si="16"/>
        <v>158862.83193599997</v>
      </c>
      <c r="AV10" s="48"/>
      <c r="AW10" s="29"/>
      <c r="AX10" s="29"/>
      <c r="AY10" s="29"/>
      <c r="AZ10" s="29"/>
      <c r="BA10" s="30"/>
      <c r="BB10" s="30"/>
      <c r="BC10" s="30"/>
      <c r="BD10" s="30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</row>
    <row r="11" spans="1:950 1098:3029 3177:3974 4122:5108 5256:6053 6201:8132 8280:9077 9225:10211 10359:11156 11304:13235 13383:15314 15462:16070" s="10" customFormat="1" ht="18" x14ac:dyDescent="0.25">
      <c r="B11" s="32">
        <v>7</v>
      </c>
      <c r="C11" s="33">
        <v>10</v>
      </c>
      <c r="D11" s="33">
        <v>1</v>
      </c>
      <c r="E11" s="32">
        <v>20</v>
      </c>
      <c r="F11" s="32">
        <v>7</v>
      </c>
      <c r="G11" s="32">
        <v>270</v>
      </c>
      <c r="H11" s="32"/>
      <c r="I11" s="34" t="s">
        <v>77</v>
      </c>
      <c r="J11" s="34" t="s">
        <v>78</v>
      </c>
      <c r="K11" s="37">
        <f>2014-2009</f>
        <v>5</v>
      </c>
      <c r="L11" s="33" t="s">
        <v>63</v>
      </c>
      <c r="M11" s="33">
        <v>7</v>
      </c>
      <c r="N11" s="33">
        <v>30</v>
      </c>
      <c r="O11" s="33" t="s">
        <v>57</v>
      </c>
      <c r="P11" s="38" t="s">
        <v>79</v>
      </c>
      <c r="Q11" s="39" t="s">
        <v>80</v>
      </c>
      <c r="R11" s="39" t="s">
        <v>74</v>
      </c>
      <c r="S11" s="40">
        <v>8424</v>
      </c>
      <c r="T11" s="40">
        <v>0</v>
      </c>
      <c r="U11" s="40">
        <f t="shared" si="0"/>
        <v>8424</v>
      </c>
      <c r="V11" s="40">
        <v>775</v>
      </c>
      <c r="W11" s="40">
        <v>523</v>
      </c>
      <c r="X11" s="40">
        <v>219.12</v>
      </c>
      <c r="Y11" s="40">
        <v>0</v>
      </c>
      <c r="Z11" s="40">
        <f t="shared" si="14"/>
        <v>1296.4680000000001</v>
      </c>
      <c r="AA11" s="40">
        <f t="shared" si="1"/>
        <v>259.29360000000003</v>
      </c>
      <c r="AB11" s="41">
        <v>575.36</v>
      </c>
      <c r="AC11" s="40">
        <f t="shared" si="2"/>
        <v>172.86240000000001</v>
      </c>
      <c r="AD11" s="40">
        <f t="shared" si="3"/>
        <v>4212</v>
      </c>
      <c r="AE11" s="42">
        <v>338</v>
      </c>
      <c r="AF11" s="42">
        <v>70.099999999999994</v>
      </c>
      <c r="AG11" s="40">
        <f t="shared" si="15"/>
        <v>61.215000000000003</v>
      </c>
      <c r="AH11" s="40">
        <f t="shared" si="4"/>
        <v>12.243</v>
      </c>
      <c r="AI11" s="40">
        <f t="shared" si="5"/>
        <v>51.858720000000005</v>
      </c>
      <c r="AJ11" s="40">
        <f t="shared" si="6"/>
        <v>8.1620000000000008</v>
      </c>
      <c r="AK11" s="42">
        <f t="shared" si="7"/>
        <v>23.014400000000002</v>
      </c>
      <c r="AL11" s="42">
        <f t="shared" si="7"/>
        <v>6.9144960000000006</v>
      </c>
      <c r="AM11" s="42">
        <v>0</v>
      </c>
      <c r="AN11" s="42">
        <f t="shared" si="8"/>
        <v>56.333333333333336</v>
      </c>
      <c r="AO11" s="42">
        <f t="shared" si="9"/>
        <v>169</v>
      </c>
      <c r="AP11" s="42">
        <f t="shared" si="10"/>
        <v>563.33333333333337</v>
      </c>
      <c r="AQ11" s="42">
        <f t="shared" si="11"/>
        <v>7646.7580586666681</v>
      </c>
      <c r="AR11" s="40">
        <f t="shared" si="12"/>
        <v>1404</v>
      </c>
      <c r="AS11" s="40">
        <f t="shared" si="13"/>
        <v>14040</v>
      </c>
      <c r="AT11" s="40">
        <v>7200</v>
      </c>
      <c r="AU11" s="40">
        <f t="shared" si="16"/>
        <v>181444.00605866668</v>
      </c>
      <c r="AV11" s="45"/>
      <c r="AW11" s="29"/>
      <c r="AX11" s="29"/>
      <c r="AY11" s="29"/>
      <c r="AZ11" s="29"/>
      <c r="BA11" s="30"/>
      <c r="BB11" s="30"/>
      <c r="BC11" s="30"/>
      <c r="BD11" s="30"/>
    </row>
    <row r="12" spans="1:950 1098:3029 3177:3974 4122:5108 5256:6053 6201:8132 8280:9077 9225:10211 10359:11156 11304:13235 13383:15314 15462:16070" ht="18" x14ac:dyDescent="0.25">
      <c r="B12" s="32">
        <v>8</v>
      </c>
      <c r="C12" s="33">
        <v>10</v>
      </c>
      <c r="D12" s="33">
        <v>1</v>
      </c>
      <c r="E12" s="32">
        <v>20</v>
      </c>
      <c r="F12" s="32">
        <v>8</v>
      </c>
      <c r="G12" s="32">
        <v>270</v>
      </c>
      <c r="H12" s="32"/>
      <c r="I12" s="34" t="s">
        <v>81</v>
      </c>
      <c r="J12" s="35" t="s">
        <v>82</v>
      </c>
      <c r="K12" s="37">
        <f>2014-1997</f>
        <v>17</v>
      </c>
      <c r="L12" s="33" t="s">
        <v>56</v>
      </c>
      <c r="M12" s="33">
        <v>4</v>
      </c>
      <c r="N12" s="33">
        <v>30</v>
      </c>
      <c r="O12" s="33" t="s">
        <v>57</v>
      </c>
      <c r="P12" s="38" t="s">
        <v>68</v>
      </c>
      <c r="Q12" s="39" t="s">
        <v>59</v>
      </c>
      <c r="R12" s="39" t="s">
        <v>60</v>
      </c>
      <c r="S12" s="40">
        <v>7491</v>
      </c>
      <c r="T12" s="40">
        <v>0</v>
      </c>
      <c r="U12" s="40">
        <f t="shared" si="0"/>
        <v>7491</v>
      </c>
      <c r="V12" s="40">
        <v>682</v>
      </c>
      <c r="W12" s="40">
        <v>412</v>
      </c>
      <c r="X12" s="40">
        <v>365.2</v>
      </c>
      <c r="Y12" s="40">
        <f>U12/30*25%*52</f>
        <v>3246.1</v>
      </c>
      <c r="Z12" s="40">
        <f t="shared" si="14"/>
        <v>1178.4299999999998</v>
      </c>
      <c r="AA12" s="40">
        <f t="shared" si="1"/>
        <v>235.68599999999998</v>
      </c>
      <c r="AB12" s="41">
        <v>547.83000000000004</v>
      </c>
      <c r="AC12" s="40">
        <f t="shared" si="2"/>
        <v>157.124</v>
      </c>
      <c r="AD12" s="40">
        <f t="shared" si="3"/>
        <v>3745.5</v>
      </c>
      <c r="AE12" s="42">
        <v>375</v>
      </c>
      <c r="AF12" s="42">
        <v>0</v>
      </c>
      <c r="AG12" s="40">
        <f t="shared" si="15"/>
        <v>56.25</v>
      </c>
      <c r="AH12" s="40">
        <f t="shared" si="4"/>
        <v>11.25</v>
      </c>
      <c r="AI12" s="40">
        <f t="shared" si="5"/>
        <v>47.137199999999993</v>
      </c>
      <c r="AJ12" s="40">
        <f t="shared" si="6"/>
        <v>7.5</v>
      </c>
      <c r="AK12" s="42">
        <f t="shared" si="7"/>
        <v>21.913200000000003</v>
      </c>
      <c r="AL12" s="42">
        <f t="shared" si="7"/>
        <v>6.2849599999999999</v>
      </c>
      <c r="AM12" s="42">
        <f>U12*6.58%</f>
        <v>492.90779999999995</v>
      </c>
      <c r="AN12" s="42">
        <f t="shared" si="8"/>
        <v>62.5</v>
      </c>
      <c r="AO12" s="42">
        <f t="shared" si="9"/>
        <v>187.5</v>
      </c>
      <c r="AP12" s="42">
        <f t="shared" si="10"/>
        <v>625</v>
      </c>
      <c r="AQ12" s="42">
        <f t="shared" si="11"/>
        <v>7671.9321199999986</v>
      </c>
      <c r="AR12" s="40">
        <f t="shared" si="12"/>
        <v>1248.5</v>
      </c>
      <c r="AS12" s="40">
        <f t="shared" si="13"/>
        <v>12485</v>
      </c>
      <c r="AT12" s="40">
        <v>7200</v>
      </c>
      <c r="AU12" s="40">
        <f t="shared" si="16"/>
        <v>168428.27211999998</v>
      </c>
      <c r="AV12" s="49"/>
      <c r="AW12" s="29"/>
      <c r="AX12" s="29"/>
      <c r="AY12" s="29"/>
      <c r="AZ12" s="29"/>
      <c r="BA12" s="30"/>
      <c r="BB12" s="30"/>
      <c r="BC12" s="30"/>
      <c r="BD12" s="30"/>
    </row>
    <row r="13" spans="1:950 1098:3029 3177:3974 4122:5108 5256:6053 6201:8132 8280:9077 9225:10211 10359:11156 11304:13235 13383:15314 15462:16070" ht="18" x14ac:dyDescent="0.25">
      <c r="B13" s="32">
        <v>9</v>
      </c>
      <c r="C13" s="33">
        <v>10</v>
      </c>
      <c r="D13" s="33">
        <v>1</v>
      </c>
      <c r="E13" s="32">
        <v>20</v>
      </c>
      <c r="F13" s="32">
        <v>9</v>
      </c>
      <c r="G13" s="32">
        <v>270</v>
      </c>
      <c r="H13" s="32"/>
      <c r="I13" s="34" t="s">
        <v>83</v>
      </c>
      <c r="J13" s="35" t="s">
        <v>84</v>
      </c>
      <c r="K13" s="37">
        <f>2014-2004</f>
        <v>10</v>
      </c>
      <c r="L13" s="33" t="s">
        <v>63</v>
      </c>
      <c r="M13" s="33">
        <v>4</v>
      </c>
      <c r="N13" s="33">
        <v>30</v>
      </c>
      <c r="O13" s="33" t="s">
        <v>57</v>
      </c>
      <c r="P13" s="38" t="s">
        <v>68</v>
      </c>
      <c r="Q13" s="50" t="s">
        <v>85</v>
      </c>
      <c r="R13" s="50" t="s">
        <v>60</v>
      </c>
      <c r="S13" s="40">
        <v>7491</v>
      </c>
      <c r="T13" s="40">
        <v>0</v>
      </c>
      <c r="U13" s="40">
        <f t="shared" si="0"/>
        <v>7491</v>
      </c>
      <c r="V13" s="40">
        <v>682</v>
      </c>
      <c r="W13" s="40">
        <v>412</v>
      </c>
      <c r="X13" s="40">
        <v>292.16000000000003</v>
      </c>
      <c r="Y13" s="40">
        <v>0</v>
      </c>
      <c r="Z13" s="40">
        <f t="shared" si="14"/>
        <v>1167.4739999999999</v>
      </c>
      <c r="AA13" s="40">
        <f t="shared" si="1"/>
        <v>233.4948</v>
      </c>
      <c r="AB13" s="41">
        <v>547.69000000000005</v>
      </c>
      <c r="AC13" s="40">
        <f t="shared" si="2"/>
        <v>155.66319999999999</v>
      </c>
      <c r="AD13" s="40">
        <f t="shared" si="3"/>
        <v>3745.5</v>
      </c>
      <c r="AE13" s="42">
        <v>375</v>
      </c>
      <c r="AF13" s="42">
        <v>0</v>
      </c>
      <c r="AG13" s="40">
        <f t="shared" si="15"/>
        <v>56.25</v>
      </c>
      <c r="AH13" s="40">
        <f t="shared" si="4"/>
        <v>11.25</v>
      </c>
      <c r="AI13" s="40">
        <f t="shared" si="5"/>
        <v>46.69896</v>
      </c>
      <c r="AJ13" s="40">
        <f t="shared" si="6"/>
        <v>7.5</v>
      </c>
      <c r="AK13" s="42">
        <f t="shared" si="7"/>
        <v>21.907600000000002</v>
      </c>
      <c r="AL13" s="42">
        <f t="shared" si="7"/>
        <v>6.2265280000000001</v>
      </c>
      <c r="AM13" s="42">
        <v>0</v>
      </c>
      <c r="AN13" s="42">
        <f t="shared" si="8"/>
        <v>62.5</v>
      </c>
      <c r="AO13" s="42">
        <f t="shared" si="9"/>
        <v>187.5</v>
      </c>
      <c r="AP13" s="42">
        <f t="shared" si="10"/>
        <v>625</v>
      </c>
      <c r="AQ13" s="42">
        <f t="shared" si="11"/>
        <v>7172.9970560000002</v>
      </c>
      <c r="AR13" s="40">
        <f t="shared" si="12"/>
        <v>1248.5</v>
      </c>
      <c r="AS13" s="40">
        <f t="shared" si="13"/>
        <v>12485</v>
      </c>
      <c r="AT13" s="40">
        <v>7200</v>
      </c>
      <c r="AU13" s="40">
        <f t="shared" si="16"/>
        <v>163629.78105600001</v>
      </c>
      <c r="AV13" s="45"/>
      <c r="AW13" s="29"/>
      <c r="AX13" s="29"/>
      <c r="AY13" s="29"/>
      <c r="AZ13" s="29"/>
      <c r="BA13" s="30"/>
      <c r="BB13" s="30"/>
      <c r="BC13" s="30"/>
      <c r="BD13" s="30"/>
    </row>
    <row r="14" spans="1:950 1098:3029 3177:3974 4122:5108 5256:6053 6201:8132 8280:9077 9225:10211 10359:11156 11304:13235 13383:15314 15462:16070" ht="18" x14ac:dyDescent="0.25">
      <c r="B14" s="32">
        <v>10</v>
      </c>
      <c r="C14" s="33">
        <v>10</v>
      </c>
      <c r="D14" s="33">
        <v>1</v>
      </c>
      <c r="E14" s="32">
        <v>20</v>
      </c>
      <c r="F14" s="32">
        <v>10</v>
      </c>
      <c r="G14" s="32">
        <v>270</v>
      </c>
      <c r="H14" s="32"/>
      <c r="I14" s="34" t="s">
        <v>86</v>
      </c>
      <c r="J14" s="35" t="s">
        <v>87</v>
      </c>
      <c r="K14" s="37">
        <f>2014-2010</f>
        <v>4</v>
      </c>
      <c r="L14" s="33" t="s">
        <v>56</v>
      </c>
      <c r="M14" s="33">
        <v>4</v>
      </c>
      <c r="N14" s="33">
        <v>30</v>
      </c>
      <c r="O14" s="33" t="s">
        <v>57</v>
      </c>
      <c r="P14" s="38" t="s">
        <v>68</v>
      </c>
      <c r="Q14" s="39" t="s">
        <v>88</v>
      </c>
      <c r="R14" s="39" t="s">
        <v>89</v>
      </c>
      <c r="S14" s="40">
        <v>7491</v>
      </c>
      <c r="T14" s="40">
        <v>0</v>
      </c>
      <c r="U14" s="40">
        <f t="shared" si="0"/>
        <v>7491</v>
      </c>
      <c r="V14" s="40">
        <v>682</v>
      </c>
      <c r="W14" s="40">
        <v>412</v>
      </c>
      <c r="X14" s="40">
        <v>219.12</v>
      </c>
      <c r="Y14" s="40">
        <v>0</v>
      </c>
      <c r="Z14" s="40">
        <f t="shared" si="14"/>
        <v>1156.518</v>
      </c>
      <c r="AA14" s="40">
        <f t="shared" si="1"/>
        <v>231.30359999999999</v>
      </c>
      <c r="AB14" s="41">
        <v>547.16999999999996</v>
      </c>
      <c r="AC14" s="40">
        <f t="shared" si="2"/>
        <v>154.20240000000001</v>
      </c>
      <c r="AD14" s="40">
        <f t="shared" si="3"/>
        <v>3745.5</v>
      </c>
      <c r="AE14" s="42">
        <v>375</v>
      </c>
      <c r="AF14" s="42">
        <v>70.099999999999994</v>
      </c>
      <c r="AG14" s="40">
        <f t="shared" si="15"/>
        <v>66.765000000000001</v>
      </c>
      <c r="AH14" s="40">
        <f t="shared" si="4"/>
        <v>13.353</v>
      </c>
      <c r="AI14" s="40">
        <f t="shared" si="5"/>
        <v>46.260719999999999</v>
      </c>
      <c r="AJ14" s="40">
        <f t="shared" si="6"/>
        <v>8.902000000000001</v>
      </c>
      <c r="AK14" s="42">
        <f t="shared" si="7"/>
        <v>21.886799999999997</v>
      </c>
      <c r="AL14" s="42">
        <f t="shared" si="7"/>
        <v>6.1680960000000002</v>
      </c>
      <c r="AM14" s="42">
        <v>0</v>
      </c>
      <c r="AN14" s="42">
        <f t="shared" si="8"/>
        <v>62.5</v>
      </c>
      <c r="AO14" s="42">
        <f t="shared" si="9"/>
        <v>187.5</v>
      </c>
      <c r="AP14" s="42">
        <f t="shared" si="10"/>
        <v>625</v>
      </c>
      <c r="AQ14" s="42">
        <f t="shared" si="11"/>
        <v>8176.2273919999998</v>
      </c>
      <c r="AR14" s="40">
        <f t="shared" si="12"/>
        <v>1248.5</v>
      </c>
      <c r="AS14" s="40">
        <f t="shared" si="13"/>
        <v>12485</v>
      </c>
      <c r="AT14" s="40">
        <v>7200</v>
      </c>
      <c r="AU14" s="40">
        <f t="shared" si="16"/>
        <v>163574.99539200001</v>
      </c>
      <c r="AV14" s="45"/>
      <c r="AW14" s="29"/>
      <c r="AX14" s="29"/>
      <c r="AY14" s="29"/>
      <c r="AZ14" s="29"/>
      <c r="BA14" s="30"/>
      <c r="BB14" s="30"/>
      <c r="BC14" s="30"/>
      <c r="BD14" s="30"/>
    </row>
    <row r="15" spans="1:950 1098:3029 3177:3974 4122:5108 5256:6053 6201:8132 8280:9077 9225:10211 10359:11156 11304:13235 13383:15314 15462:16070" ht="18" x14ac:dyDescent="0.25">
      <c r="B15" s="32">
        <v>11</v>
      </c>
      <c r="C15" s="33">
        <v>10</v>
      </c>
      <c r="D15" s="33">
        <v>1</v>
      </c>
      <c r="E15" s="32">
        <v>20</v>
      </c>
      <c r="F15" s="32">
        <v>11</v>
      </c>
      <c r="G15" s="32">
        <v>270</v>
      </c>
      <c r="H15" s="32"/>
      <c r="I15" s="34" t="s">
        <v>90</v>
      </c>
      <c r="J15" s="35" t="s">
        <v>91</v>
      </c>
      <c r="K15" s="37">
        <f>2014-2012</f>
        <v>2</v>
      </c>
      <c r="L15" s="33" t="s">
        <v>63</v>
      </c>
      <c r="M15" s="33">
        <v>8</v>
      </c>
      <c r="N15" s="33">
        <v>40</v>
      </c>
      <c r="O15" s="33" t="s">
        <v>57</v>
      </c>
      <c r="P15" s="38" t="s">
        <v>92</v>
      </c>
      <c r="Q15" s="39" t="s">
        <v>65</v>
      </c>
      <c r="R15" s="39" t="s">
        <v>60</v>
      </c>
      <c r="S15" s="40">
        <v>11272.5</v>
      </c>
      <c r="T15" s="40">
        <v>0</v>
      </c>
      <c r="U15" s="40">
        <f t="shared" si="0"/>
        <v>11272.5</v>
      </c>
      <c r="V15" s="40">
        <v>1021</v>
      </c>
      <c r="W15" s="40">
        <v>695</v>
      </c>
      <c r="X15" s="40">
        <v>0</v>
      </c>
      <c r="Y15" s="40">
        <f>U15/30*25%*52</f>
        <v>4884.75</v>
      </c>
      <c r="Z15" s="40">
        <f t="shared" si="14"/>
        <v>1690.875</v>
      </c>
      <c r="AA15" s="40">
        <f t="shared" si="1"/>
        <v>338.17500000000001</v>
      </c>
      <c r="AB15" s="41">
        <v>658.64</v>
      </c>
      <c r="AC15" s="40">
        <f t="shared" si="2"/>
        <v>225.45000000000002</v>
      </c>
      <c r="AD15" s="40">
        <f t="shared" si="3"/>
        <v>5636.25</v>
      </c>
      <c r="AE15" s="42">
        <v>450</v>
      </c>
      <c r="AF15" s="42">
        <v>0</v>
      </c>
      <c r="AG15" s="40">
        <f t="shared" si="15"/>
        <v>67.5</v>
      </c>
      <c r="AH15" s="40">
        <f t="shared" si="4"/>
        <v>13.5</v>
      </c>
      <c r="AI15" s="40">
        <f t="shared" si="5"/>
        <v>67.635000000000005</v>
      </c>
      <c r="AJ15" s="40">
        <f t="shared" si="6"/>
        <v>9</v>
      </c>
      <c r="AK15" s="42">
        <f t="shared" si="7"/>
        <v>26.345600000000001</v>
      </c>
      <c r="AL15" s="42">
        <f t="shared" si="7"/>
        <v>9.0180000000000007</v>
      </c>
      <c r="AM15" s="42">
        <f>U15*6.58%</f>
        <v>741.73050000000001</v>
      </c>
      <c r="AN15" s="42">
        <f t="shared" si="8"/>
        <v>75</v>
      </c>
      <c r="AO15" s="42">
        <f t="shared" si="9"/>
        <v>225</v>
      </c>
      <c r="AP15" s="42">
        <f t="shared" si="10"/>
        <v>750</v>
      </c>
      <c r="AQ15" s="42">
        <f t="shared" si="11"/>
        <v>9507.7137000000002</v>
      </c>
      <c r="AR15" s="40">
        <f t="shared" si="12"/>
        <v>1878.75</v>
      </c>
      <c r="AS15" s="40">
        <f t="shared" si="13"/>
        <v>18787.5</v>
      </c>
      <c r="AT15" s="40">
        <v>7200</v>
      </c>
      <c r="AU15" s="40">
        <f t="shared" si="16"/>
        <v>238714.64369999999</v>
      </c>
      <c r="AV15" s="45"/>
      <c r="AW15" s="29"/>
      <c r="AX15" s="29"/>
      <c r="AY15" s="29"/>
      <c r="AZ15" s="29"/>
      <c r="BA15" s="30"/>
      <c r="BB15" s="30"/>
      <c r="BC15" s="30"/>
      <c r="BD15" s="30"/>
    </row>
    <row r="16" spans="1:950 1098:3029 3177:3974 4122:5108 5256:6053 6201:8132 8280:9077 9225:10211 10359:11156 11304:13235 13383:15314 15462:16070" ht="18" x14ac:dyDescent="0.25">
      <c r="B16" s="32">
        <v>12</v>
      </c>
      <c r="C16" s="33">
        <v>10</v>
      </c>
      <c r="D16" s="33">
        <v>1</v>
      </c>
      <c r="E16" s="32">
        <v>20</v>
      </c>
      <c r="F16" s="32">
        <v>12</v>
      </c>
      <c r="G16" s="32">
        <v>270</v>
      </c>
      <c r="H16" s="32"/>
      <c r="I16" s="34" t="s">
        <v>93</v>
      </c>
      <c r="J16" s="35" t="s">
        <v>94</v>
      </c>
      <c r="K16" s="37">
        <f>2014-2001</f>
        <v>13</v>
      </c>
      <c r="L16" s="33" t="s">
        <v>63</v>
      </c>
      <c r="M16" s="33">
        <v>4</v>
      </c>
      <c r="N16" s="33">
        <v>30</v>
      </c>
      <c r="O16" s="33" t="s">
        <v>57</v>
      </c>
      <c r="P16" s="38" t="s">
        <v>68</v>
      </c>
      <c r="Q16" s="39" t="s">
        <v>59</v>
      </c>
      <c r="R16" s="39" t="s">
        <v>60</v>
      </c>
      <c r="S16" s="40">
        <v>7491</v>
      </c>
      <c r="T16" s="40">
        <v>0</v>
      </c>
      <c r="U16" s="40">
        <f t="shared" si="0"/>
        <v>7491</v>
      </c>
      <c r="V16" s="40">
        <v>682</v>
      </c>
      <c r="W16" s="40">
        <v>412</v>
      </c>
      <c r="X16" s="40">
        <v>292.16000000000003</v>
      </c>
      <c r="Y16" s="40">
        <v>0</v>
      </c>
      <c r="Z16" s="40">
        <f t="shared" si="14"/>
        <v>1167.4739999999999</v>
      </c>
      <c r="AA16" s="40">
        <f t="shared" si="1"/>
        <v>233.4948</v>
      </c>
      <c r="AB16" s="41">
        <v>547.69000000000005</v>
      </c>
      <c r="AC16" s="40">
        <f t="shared" si="2"/>
        <v>155.66319999999999</v>
      </c>
      <c r="AD16" s="40">
        <f t="shared" si="3"/>
        <v>3745.5</v>
      </c>
      <c r="AE16" s="42">
        <v>375</v>
      </c>
      <c r="AF16" s="42">
        <v>0</v>
      </c>
      <c r="AG16" s="40">
        <f t="shared" si="15"/>
        <v>56.25</v>
      </c>
      <c r="AH16" s="40">
        <f t="shared" si="4"/>
        <v>11.25</v>
      </c>
      <c r="AI16" s="40">
        <f t="shared" si="5"/>
        <v>46.69896</v>
      </c>
      <c r="AJ16" s="40">
        <f t="shared" si="6"/>
        <v>7.5</v>
      </c>
      <c r="AK16" s="42">
        <f t="shared" si="7"/>
        <v>21.907600000000002</v>
      </c>
      <c r="AL16" s="42">
        <f t="shared" si="7"/>
        <v>6.2265280000000001</v>
      </c>
      <c r="AM16" s="42">
        <v>0</v>
      </c>
      <c r="AN16" s="42">
        <f t="shared" si="8"/>
        <v>62.5</v>
      </c>
      <c r="AO16" s="42">
        <f t="shared" si="9"/>
        <v>187.5</v>
      </c>
      <c r="AP16" s="42">
        <f t="shared" si="10"/>
        <v>625</v>
      </c>
      <c r="AQ16" s="42">
        <f t="shared" si="11"/>
        <v>7172.9970560000002</v>
      </c>
      <c r="AR16" s="40">
        <f t="shared" si="12"/>
        <v>1248.5</v>
      </c>
      <c r="AS16" s="40">
        <f t="shared" si="13"/>
        <v>12485</v>
      </c>
      <c r="AT16" s="40">
        <v>7200</v>
      </c>
      <c r="AU16" s="40">
        <f t="shared" si="16"/>
        <v>163629.78105600001</v>
      </c>
      <c r="AV16" s="45"/>
      <c r="AW16" s="29"/>
      <c r="AX16" s="29"/>
      <c r="AY16" s="29"/>
      <c r="AZ16" s="29"/>
      <c r="BA16" s="30"/>
      <c r="BB16" s="30"/>
      <c r="BC16" s="30"/>
      <c r="BD16" s="30"/>
    </row>
    <row r="17" spans="2:56" ht="18" x14ac:dyDescent="0.25">
      <c r="B17" s="32">
        <v>13</v>
      </c>
      <c r="C17" s="33">
        <v>10</v>
      </c>
      <c r="D17" s="33">
        <v>1</v>
      </c>
      <c r="E17" s="32">
        <v>20</v>
      </c>
      <c r="F17" s="32">
        <v>13</v>
      </c>
      <c r="G17" s="32">
        <v>270</v>
      </c>
      <c r="H17" s="32"/>
      <c r="I17" s="34" t="s">
        <v>95</v>
      </c>
      <c r="J17" s="35" t="s">
        <v>96</v>
      </c>
      <c r="K17" s="37">
        <f>2014-1996</f>
        <v>18</v>
      </c>
      <c r="L17" s="33" t="s">
        <v>56</v>
      </c>
      <c r="M17" s="33">
        <v>10</v>
      </c>
      <c r="N17" s="33">
        <v>40</v>
      </c>
      <c r="O17" s="33" t="s">
        <v>57</v>
      </c>
      <c r="P17" s="38" t="s">
        <v>97</v>
      </c>
      <c r="Q17" s="39" t="s">
        <v>89</v>
      </c>
      <c r="R17" s="39" t="s">
        <v>89</v>
      </c>
      <c r="S17" s="40">
        <v>12521.4</v>
      </c>
      <c r="T17" s="40">
        <v>0</v>
      </c>
      <c r="U17" s="40">
        <f t="shared" si="0"/>
        <v>12521.4</v>
      </c>
      <c r="V17" s="40">
        <v>1046</v>
      </c>
      <c r="W17" s="40">
        <f>666</f>
        <v>666</v>
      </c>
      <c r="X17" s="40">
        <v>365.2</v>
      </c>
      <c r="Y17" s="40">
        <v>0</v>
      </c>
      <c r="Z17" s="40">
        <f t="shared" si="14"/>
        <v>1932.99</v>
      </c>
      <c r="AA17" s="40">
        <f t="shared" si="1"/>
        <v>386.59800000000001</v>
      </c>
      <c r="AB17" s="41">
        <v>693.91</v>
      </c>
      <c r="AC17" s="40">
        <f t="shared" si="2"/>
        <v>257.73200000000003</v>
      </c>
      <c r="AD17" s="40">
        <f t="shared" si="3"/>
        <v>6260.7</v>
      </c>
      <c r="AE17" s="42">
        <v>399</v>
      </c>
      <c r="AF17" s="42">
        <v>0</v>
      </c>
      <c r="AG17" s="40">
        <f t="shared" si="15"/>
        <v>59.849999999999994</v>
      </c>
      <c r="AH17" s="40">
        <f t="shared" si="4"/>
        <v>11.969999999999999</v>
      </c>
      <c r="AI17" s="40">
        <f t="shared" si="5"/>
        <v>77.319600000000008</v>
      </c>
      <c r="AJ17" s="40">
        <f t="shared" si="6"/>
        <v>7.98</v>
      </c>
      <c r="AK17" s="42">
        <f t="shared" si="7"/>
        <v>27.756399999999999</v>
      </c>
      <c r="AL17" s="42">
        <f t="shared" si="7"/>
        <v>10.309280000000001</v>
      </c>
      <c r="AM17" s="42">
        <v>0</v>
      </c>
      <c r="AN17" s="42">
        <f t="shared" si="8"/>
        <v>66.5</v>
      </c>
      <c r="AO17" s="42">
        <f t="shared" si="9"/>
        <v>199.5</v>
      </c>
      <c r="AP17" s="42">
        <f t="shared" si="10"/>
        <v>665</v>
      </c>
      <c r="AQ17" s="42">
        <f t="shared" si="11"/>
        <v>8061.2233600000018</v>
      </c>
      <c r="AR17" s="40">
        <f t="shared" si="12"/>
        <v>2086.9</v>
      </c>
      <c r="AS17" s="40">
        <f t="shared" si="13"/>
        <v>20869</v>
      </c>
      <c r="AT17" s="40">
        <v>7200</v>
      </c>
      <c r="AU17" s="40">
        <f t="shared" si="16"/>
        <v>258915.78336000003</v>
      </c>
      <c r="AV17" s="49"/>
      <c r="AW17" s="29"/>
      <c r="AX17" s="29"/>
      <c r="AY17" s="29"/>
      <c r="AZ17" s="29"/>
      <c r="BA17" s="44"/>
      <c r="BB17" s="30"/>
      <c r="BC17" s="30"/>
      <c r="BD17" s="30"/>
    </row>
    <row r="18" spans="2:56" ht="18" x14ac:dyDescent="0.25">
      <c r="B18" s="32">
        <v>14</v>
      </c>
      <c r="C18" s="33">
        <v>10</v>
      </c>
      <c r="D18" s="33">
        <v>1</v>
      </c>
      <c r="E18" s="32">
        <v>20</v>
      </c>
      <c r="F18" s="32">
        <v>14</v>
      </c>
      <c r="G18" s="32">
        <v>270</v>
      </c>
      <c r="H18" s="32"/>
      <c r="I18" s="34" t="s">
        <v>98</v>
      </c>
      <c r="J18" s="35" t="s">
        <v>99</v>
      </c>
      <c r="K18" s="37">
        <f>2014-1994</f>
        <v>20</v>
      </c>
      <c r="L18" s="33" t="s">
        <v>63</v>
      </c>
      <c r="M18" s="33">
        <v>4</v>
      </c>
      <c r="N18" s="33">
        <v>30</v>
      </c>
      <c r="O18" s="33" t="s">
        <v>57</v>
      </c>
      <c r="P18" s="38" t="s">
        <v>68</v>
      </c>
      <c r="Q18" s="39" t="s">
        <v>59</v>
      </c>
      <c r="R18" s="39" t="s">
        <v>60</v>
      </c>
      <c r="S18" s="40">
        <v>7491</v>
      </c>
      <c r="T18" s="40">
        <v>0</v>
      </c>
      <c r="U18" s="40">
        <f t="shared" si="0"/>
        <v>7491</v>
      </c>
      <c r="V18" s="40">
        <v>682</v>
      </c>
      <c r="W18" s="40">
        <v>412</v>
      </c>
      <c r="X18" s="40">
        <v>438.24</v>
      </c>
      <c r="Y18" s="40">
        <v>0</v>
      </c>
      <c r="Z18" s="40">
        <f t="shared" si="14"/>
        <v>1189.386</v>
      </c>
      <c r="AA18" s="40">
        <f t="shared" si="1"/>
        <v>237.87719999999999</v>
      </c>
      <c r="AB18" s="41">
        <v>547.91999999999996</v>
      </c>
      <c r="AC18" s="40">
        <f t="shared" si="2"/>
        <v>158.5848</v>
      </c>
      <c r="AD18" s="40">
        <f t="shared" si="3"/>
        <v>3745.5</v>
      </c>
      <c r="AE18" s="42">
        <v>375</v>
      </c>
      <c r="AF18" s="42">
        <v>70.099999999999994</v>
      </c>
      <c r="AG18" s="40">
        <f t="shared" si="15"/>
        <v>66.765000000000001</v>
      </c>
      <c r="AH18" s="40">
        <f t="shared" si="4"/>
        <v>13.353</v>
      </c>
      <c r="AI18" s="40">
        <f t="shared" si="5"/>
        <v>47.57544</v>
      </c>
      <c r="AJ18" s="40">
        <f t="shared" si="6"/>
        <v>8.902000000000001</v>
      </c>
      <c r="AK18" s="42">
        <f t="shared" si="7"/>
        <v>21.916799999999999</v>
      </c>
      <c r="AL18" s="42">
        <f t="shared" si="7"/>
        <v>6.3433920000000006</v>
      </c>
      <c r="AM18" s="42">
        <v>0</v>
      </c>
      <c r="AN18" s="42">
        <f t="shared" si="8"/>
        <v>62.5</v>
      </c>
      <c r="AO18" s="42">
        <f t="shared" si="9"/>
        <v>187.5</v>
      </c>
      <c r="AP18" s="42">
        <f t="shared" si="10"/>
        <v>625</v>
      </c>
      <c r="AQ18" s="42">
        <f t="shared" si="11"/>
        <v>8194.4675839999982</v>
      </c>
      <c r="AR18" s="40">
        <f t="shared" si="12"/>
        <v>1248.5</v>
      </c>
      <c r="AS18" s="40">
        <f t="shared" si="13"/>
        <v>12485</v>
      </c>
      <c r="AT18" s="40">
        <v>7200</v>
      </c>
      <c r="AU18" s="40">
        <f t="shared" si="16"/>
        <v>166757.56358400002</v>
      </c>
      <c r="AV18" s="51"/>
      <c r="AW18" s="29"/>
      <c r="AX18" s="29"/>
      <c r="AY18" s="29"/>
      <c r="AZ18" s="29"/>
      <c r="BA18" s="29"/>
      <c r="BB18" s="30"/>
      <c r="BC18" s="30"/>
      <c r="BD18" s="30"/>
    </row>
    <row r="19" spans="2:56" ht="18" x14ac:dyDescent="0.25">
      <c r="B19" s="32">
        <v>15</v>
      </c>
      <c r="C19" s="33">
        <v>10</v>
      </c>
      <c r="D19" s="33">
        <v>1</v>
      </c>
      <c r="E19" s="32">
        <v>20</v>
      </c>
      <c r="F19" s="32">
        <v>15</v>
      </c>
      <c r="G19" s="32">
        <v>270</v>
      </c>
      <c r="H19" s="32"/>
      <c r="I19" s="34" t="s">
        <v>100</v>
      </c>
      <c r="J19" s="35" t="s">
        <v>101</v>
      </c>
      <c r="K19" s="37">
        <f>2014-1994</f>
        <v>20</v>
      </c>
      <c r="L19" s="33" t="s">
        <v>56</v>
      </c>
      <c r="M19" s="33">
        <v>6</v>
      </c>
      <c r="N19" s="33">
        <v>30</v>
      </c>
      <c r="O19" s="33" t="s">
        <v>57</v>
      </c>
      <c r="P19" s="38" t="s">
        <v>58</v>
      </c>
      <c r="Q19" s="39" t="s">
        <v>102</v>
      </c>
      <c r="R19" s="39" t="s">
        <v>74</v>
      </c>
      <c r="S19" s="40">
        <v>8051.1</v>
      </c>
      <c r="T19" s="40">
        <v>0</v>
      </c>
      <c r="U19" s="40">
        <f t="shared" si="0"/>
        <v>8051.1</v>
      </c>
      <c r="V19" s="40">
        <v>767</v>
      </c>
      <c r="W19" s="40">
        <v>513</v>
      </c>
      <c r="X19" s="40">
        <v>438.24</v>
      </c>
      <c r="Y19" s="40">
        <v>0</v>
      </c>
      <c r="Z19" s="40">
        <f t="shared" si="14"/>
        <v>1273.4010000000001</v>
      </c>
      <c r="AA19" s="40">
        <f t="shared" si="1"/>
        <v>254.68019999999999</v>
      </c>
      <c r="AB19" s="41">
        <v>565.37</v>
      </c>
      <c r="AC19" s="40">
        <f t="shared" si="2"/>
        <v>169.7868</v>
      </c>
      <c r="AD19" s="40">
        <f t="shared" si="3"/>
        <v>4025.55</v>
      </c>
      <c r="AE19" s="42">
        <v>338</v>
      </c>
      <c r="AF19" s="42">
        <v>70.099999999999994</v>
      </c>
      <c r="AG19" s="40">
        <f t="shared" si="15"/>
        <v>61.215000000000003</v>
      </c>
      <c r="AH19" s="40">
        <f t="shared" si="4"/>
        <v>12.243</v>
      </c>
      <c r="AI19" s="40">
        <f t="shared" si="5"/>
        <v>50.936040000000006</v>
      </c>
      <c r="AJ19" s="40">
        <f t="shared" si="6"/>
        <v>8.1620000000000008</v>
      </c>
      <c r="AK19" s="42">
        <f t="shared" si="7"/>
        <v>22.614799999999999</v>
      </c>
      <c r="AL19" s="42">
        <f t="shared" si="7"/>
        <v>6.7914719999999997</v>
      </c>
      <c r="AM19" s="42">
        <v>0</v>
      </c>
      <c r="AN19" s="42">
        <f t="shared" si="8"/>
        <v>56.333333333333336</v>
      </c>
      <c r="AO19" s="42">
        <f t="shared" si="9"/>
        <v>169</v>
      </c>
      <c r="AP19" s="42">
        <f t="shared" si="10"/>
        <v>563.33333333333337</v>
      </c>
      <c r="AQ19" s="42">
        <f t="shared" si="11"/>
        <v>7629.4144106666672</v>
      </c>
      <c r="AR19" s="40">
        <f t="shared" si="12"/>
        <v>1341.85</v>
      </c>
      <c r="AS19" s="40">
        <f t="shared" si="13"/>
        <v>13418.5</v>
      </c>
      <c r="AT19" s="40">
        <v>7200</v>
      </c>
      <c r="AU19" s="40">
        <f t="shared" si="16"/>
        <v>178006.25041066669</v>
      </c>
      <c r="AV19" s="28"/>
      <c r="AW19" s="29"/>
      <c r="AX19" s="29"/>
      <c r="AY19" s="29"/>
      <c r="AZ19" s="29"/>
      <c r="BA19" s="29"/>
      <c r="BB19" s="30"/>
      <c r="BC19" s="30"/>
      <c r="BD19" s="30"/>
    </row>
    <row r="20" spans="2:56" ht="18" x14ac:dyDescent="0.25">
      <c r="B20" s="32">
        <v>16</v>
      </c>
      <c r="C20" s="33">
        <v>10</v>
      </c>
      <c r="D20" s="33">
        <v>1</v>
      </c>
      <c r="E20" s="32">
        <v>20</v>
      </c>
      <c r="F20" s="32">
        <v>16</v>
      </c>
      <c r="G20" s="32">
        <v>270</v>
      </c>
      <c r="H20" s="32"/>
      <c r="I20" s="34" t="s">
        <v>103</v>
      </c>
      <c r="J20" s="35" t="s">
        <v>104</v>
      </c>
      <c r="K20" s="37">
        <f>2014-1998</f>
        <v>16</v>
      </c>
      <c r="L20" s="33" t="s">
        <v>63</v>
      </c>
      <c r="M20" s="33">
        <v>4</v>
      </c>
      <c r="N20" s="33">
        <v>30</v>
      </c>
      <c r="O20" s="33" t="s">
        <v>57</v>
      </c>
      <c r="P20" s="38" t="s">
        <v>68</v>
      </c>
      <c r="Q20" s="39" t="s">
        <v>59</v>
      </c>
      <c r="R20" s="39" t="s">
        <v>60</v>
      </c>
      <c r="S20" s="40">
        <v>7491</v>
      </c>
      <c r="T20" s="40">
        <v>0</v>
      </c>
      <c r="U20" s="40">
        <f t="shared" si="0"/>
        <v>7491</v>
      </c>
      <c r="V20" s="40">
        <v>682</v>
      </c>
      <c r="W20" s="40">
        <v>412</v>
      </c>
      <c r="X20" s="40">
        <v>365.2</v>
      </c>
      <c r="Y20" s="40">
        <v>0</v>
      </c>
      <c r="Z20" s="40">
        <f t="shared" si="14"/>
        <v>1178.4299999999998</v>
      </c>
      <c r="AA20" s="40">
        <f t="shared" si="1"/>
        <v>235.68599999999998</v>
      </c>
      <c r="AB20" s="41">
        <v>547.83000000000004</v>
      </c>
      <c r="AC20" s="40">
        <f t="shared" si="2"/>
        <v>157.124</v>
      </c>
      <c r="AD20" s="40">
        <f t="shared" si="3"/>
        <v>3745.5</v>
      </c>
      <c r="AE20" s="42">
        <v>375</v>
      </c>
      <c r="AF20" s="42">
        <v>0</v>
      </c>
      <c r="AG20" s="40">
        <f t="shared" si="15"/>
        <v>56.25</v>
      </c>
      <c r="AH20" s="40">
        <f t="shared" si="4"/>
        <v>11.25</v>
      </c>
      <c r="AI20" s="40">
        <f t="shared" si="5"/>
        <v>47.137199999999993</v>
      </c>
      <c r="AJ20" s="40">
        <f t="shared" si="6"/>
        <v>7.5</v>
      </c>
      <c r="AK20" s="42">
        <f t="shared" si="7"/>
        <v>21.913200000000003</v>
      </c>
      <c r="AL20" s="42">
        <f t="shared" si="7"/>
        <v>6.2849599999999999</v>
      </c>
      <c r="AM20" s="42">
        <v>0</v>
      </c>
      <c r="AN20" s="42">
        <f t="shared" si="8"/>
        <v>62.5</v>
      </c>
      <c r="AO20" s="42">
        <f t="shared" si="9"/>
        <v>187.5</v>
      </c>
      <c r="AP20" s="42">
        <f t="shared" si="10"/>
        <v>625</v>
      </c>
      <c r="AQ20" s="42">
        <f t="shared" si="11"/>
        <v>7179.0243199999986</v>
      </c>
      <c r="AR20" s="40">
        <f t="shared" si="12"/>
        <v>1248.5</v>
      </c>
      <c r="AS20" s="40">
        <f t="shared" si="13"/>
        <v>12485</v>
      </c>
      <c r="AT20" s="40">
        <v>7200</v>
      </c>
      <c r="AU20" s="40">
        <f t="shared" si="16"/>
        <v>164689.26431999999</v>
      </c>
      <c r="AV20" s="28"/>
      <c r="AW20" s="29"/>
      <c r="AX20" s="29"/>
      <c r="AY20" s="29"/>
      <c r="AZ20" s="29"/>
      <c r="BA20" s="30"/>
      <c r="BB20" s="30"/>
      <c r="BC20" s="30"/>
      <c r="BD20" s="30"/>
    </row>
    <row r="21" spans="2:56" ht="18" x14ac:dyDescent="0.25">
      <c r="B21" s="32">
        <v>17</v>
      </c>
      <c r="C21" s="33">
        <v>10</v>
      </c>
      <c r="D21" s="33">
        <v>1</v>
      </c>
      <c r="E21" s="32">
        <v>20</v>
      </c>
      <c r="F21" s="32">
        <v>17</v>
      </c>
      <c r="G21" s="32">
        <v>270</v>
      </c>
      <c r="H21" s="32"/>
      <c r="I21" s="34" t="s">
        <v>105</v>
      </c>
      <c r="J21" s="35" t="s">
        <v>106</v>
      </c>
      <c r="K21" s="37">
        <f>2014-2002</f>
        <v>12</v>
      </c>
      <c r="L21" s="33" t="s">
        <v>56</v>
      </c>
      <c r="M21" s="33">
        <v>4</v>
      </c>
      <c r="N21" s="33">
        <v>30</v>
      </c>
      <c r="O21" s="33" t="s">
        <v>57</v>
      </c>
      <c r="P21" s="38" t="s">
        <v>68</v>
      </c>
      <c r="Q21" s="39" t="s">
        <v>107</v>
      </c>
      <c r="R21" s="39" t="s">
        <v>60</v>
      </c>
      <c r="S21" s="40">
        <v>7491</v>
      </c>
      <c r="T21" s="40">
        <v>0</v>
      </c>
      <c r="U21" s="40">
        <f t="shared" si="0"/>
        <v>7491</v>
      </c>
      <c r="V21" s="40">
        <v>682</v>
      </c>
      <c r="W21" s="40">
        <v>412</v>
      </c>
      <c r="X21" s="40">
        <v>292</v>
      </c>
      <c r="Y21" s="40">
        <v>0</v>
      </c>
      <c r="Z21" s="40">
        <f t="shared" si="14"/>
        <v>1167.45</v>
      </c>
      <c r="AA21" s="40">
        <f t="shared" si="1"/>
        <v>233.48999999999998</v>
      </c>
      <c r="AB21" s="41">
        <v>547.69000000000005</v>
      </c>
      <c r="AC21" s="40">
        <f t="shared" si="2"/>
        <v>155.66</v>
      </c>
      <c r="AD21" s="40">
        <f t="shared" si="3"/>
        <v>3745.5</v>
      </c>
      <c r="AE21" s="42">
        <v>375</v>
      </c>
      <c r="AF21" s="42">
        <v>0</v>
      </c>
      <c r="AG21" s="40">
        <f t="shared" si="15"/>
        <v>56.25</v>
      </c>
      <c r="AH21" s="40">
        <f t="shared" si="4"/>
        <v>11.25</v>
      </c>
      <c r="AI21" s="40">
        <f t="shared" si="5"/>
        <v>46.698</v>
      </c>
      <c r="AJ21" s="40">
        <f t="shared" si="6"/>
        <v>7.5</v>
      </c>
      <c r="AK21" s="42">
        <f t="shared" si="7"/>
        <v>21.907600000000002</v>
      </c>
      <c r="AL21" s="42">
        <f t="shared" si="7"/>
        <v>6.2263999999999999</v>
      </c>
      <c r="AM21" s="42">
        <v>0</v>
      </c>
      <c r="AN21" s="42">
        <f t="shared" si="8"/>
        <v>62.5</v>
      </c>
      <c r="AO21" s="42">
        <f t="shared" si="9"/>
        <v>187.5</v>
      </c>
      <c r="AP21" s="42">
        <f t="shared" si="10"/>
        <v>625</v>
      </c>
      <c r="AQ21" s="42">
        <f t="shared" si="11"/>
        <v>7172.9840000000004</v>
      </c>
      <c r="AR21" s="40">
        <f t="shared" si="12"/>
        <v>1248.5</v>
      </c>
      <c r="AS21" s="40">
        <f t="shared" si="13"/>
        <v>12485</v>
      </c>
      <c r="AT21" s="40">
        <v>7200</v>
      </c>
      <c r="AU21" s="40">
        <f t="shared" si="16"/>
        <v>163627.46400000001</v>
      </c>
      <c r="AV21" s="45"/>
      <c r="AW21" s="29"/>
      <c r="AX21" s="29"/>
      <c r="AY21" s="29"/>
      <c r="AZ21" s="29"/>
      <c r="BA21" s="30"/>
      <c r="BB21" s="30"/>
      <c r="BC21" s="30"/>
      <c r="BD21" s="30"/>
    </row>
    <row r="22" spans="2:56" ht="18" x14ac:dyDescent="0.25">
      <c r="B22" s="32">
        <v>18</v>
      </c>
      <c r="C22" s="33">
        <v>10</v>
      </c>
      <c r="D22" s="33">
        <v>1</v>
      </c>
      <c r="E22" s="32">
        <v>20</v>
      </c>
      <c r="F22" s="32">
        <v>18</v>
      </c>
      <c r="G22" s="32">
        <v>270</v>
      </c>
      <c r="H22" s="32"/>
      <c r="I22" s="34" t="s">
        <v>108</v>
      </c>
      <c r="J22" s="35" t="s">
        <v>109</v>
      </c>
      <c r="K22" s="37">
        <f>2014-2003</f>
        <v>11</v>
      </c>
      <c r="L22" s="33" t="s">
        <v>56</v>
      </c>
      <c r="M22" s="33">
        <v>4</v>
      </c>
      <c r="N22" s="33">
        <v>30</v>
      </c>
      <c r="O22" s="33" t="s">
        <v>57</v>
      </c>
      <c r="P22" s="38" t="s">
        <v>68</v>
      </c>
      <c r="Q22" s="39" t="s">
        <v>59</v>
      </c>
      <c r="R22" s="39" t="s">
        <v>60</v>
      </c>
      <c r="S22" s="40">
        <v>7491</v>
      </c>
      <c r="T22" s="40">
        <v>0</v>
      </c>
      <c r="U22" s="40">
        <f t="shared" si="0"/>
        <v>7491</v>
      </c>
      <c r="V22" s="40">
        <v>682</v>
      </c>
      <c r="W22" s="40">
        <v>412</v>
      </c>
      <c r="X22" s="40">
        <v>292.16000000000003</v>
      </c>
      <c r="Y22" s="40">
        <f>U22/30*25%*52</f>
        <v>3246.1</v>
      </c>
      <c r="Z22" s="40">
        <f t="shared" si="14"/>
        <v>1167.4739999999999</v>
      </c>
      <c r="AA22" s="40">
        <f t="shared" si="1"/>
        <v>233.4948</v>
      </c>
      <c r="AB22" s="41">
        <v>547.69000000000005</v>
      </c>
      <c r="AC22" s="40">
        <f t="shared" si="2"/>
        <v>155.66319999999999</v>
      </c>
      <c r="AD22" s="40">
        <f t="shared" si="3"/>
        <v>3745.5</v>
      </c>
      <c r="AE22" s="42">
        <v>375</v>
      </c>
      <c r="AF22" s="42">
        <v>0</v>
      </c>
      <c r="AG22" s="40">
        <f t="shared" si="15"/>
        <v>56.25</v>
      </c>
      <c r="AH22" s="40">
        <f t="shared" si="4"/>
        <v>11.25</v>
      </c>
      <c r="AI22" s="40">
        <f t="shared" si="5"/>
        <v>46.69896</v>
      </c>
      <c r="AJ22" s="40">
        <f t="shared" si="6"/>
        <v>7.5</v>
      </c>
      <c r="AK22" s="42">
        <f t="shared" si="7"/>
        <v>21.907600000000002</v>
      </c>
      <c r="AL22" s="42">
        <f t="shared" si="7"/>
        <v>6.2265280000000001</v>
      </c>
      <c r="AM22" s="42">
        <f>U22*6.58%</f>
        <v>492.90779999999995</v>
      </c>
      <c r="AN22" s="42">
        <f t="shared" si="8"/>
        <v>62.5</v>
      </c>
      <c r="AO22" s="42">
        <f t="shared" si="9"/>
        <v>187.5</v>
      </c>
      <c r="AP22" s="42">
        <f t="shared" si="10"/>
        <v>625</v>
      </c>
      <c r="AQ22" s="42">
        <f t="shared" si="11"/>
        <v>7665.9048560000001</v>
      </c>
      <c r="AR22" s="40">
        <f t="shared" si="12"/>
        <v>1248.5</v>
      </c>
      <c r="AS22" s="40">
        <f t="shared" si="13"/>
        <v>12485</v>
      </c>
      <c r="AT22" s="40">
        <v>7200</v>
      </c>
      <c r="AU22" s="40">
        <f t="shared" si="16"/>
        <v>167368.788856</v>
      </c>
      <c r="AV22" s="45"/>
      <c r="AW22" s="29"/>
      <c r="AX22" s="29"/>
      <c r="AY22" s="29"/>
      <c r="AZ22" s="29"/>
      <c r="BA22" s="30"/>
      <c r="BB22" s="30"/>
      <c r="BC22" s="30"/>
      <c r="BD22" s="30"/>
    </row>
    <row r="23" spans="2:56" ht="18" x14ac:dyDescent="0.25">
      <c r="B23" s="32">
        <v>19</v>
      </c>
      <c r="C23" s="33">
        <v>10</v>
      </c>
      <c r="D23" s="33">
        <v>1</v>
      </c>
      <c r="E23" s="32">
        <v>20</v>
      </c>
      <c r="F23" s="32">
        <v>19</v>
      </c>
      <c r="G23" s="32">
        <v>270</v>
      </c>
      <c r="H23" s="32"/>
      <c r="I23" s="34" t="s">
        <v>110</v>
      </c>
      <c r="J23" s="35" t="s">
        <v>111</v>
      </c>
      <c r="K23" s="37">
        <f>2014-1993</f>
        <v>21</v>
      </c>
      <c r="L23" s="33" t="s">
        <v>63</v>
      </c>
      <c r="M23" s="33">
        <v>3</v>
      </c>
      <c r="N23" s="33">
        <v>30</v>
      </c>
      <c r="O23" s="33" t="s">
        <v>57</v>
      </c>
      <c r="P23" s="38" t="s">
        <v>64</v>
      </c>
      <c r="Q23" s="39" t="s">
        <v>65</v>
      </c>
      <c r="R23" s="39" t="s">
        <v>60</v>
      </c>
      <c r="S23" s="40">
        <v>7227.3</v>
      </c>
      <c r="T23" s="40">
        <v>0</v>
      </c>
      <c r="U23" s="40">
        <f t="shared" si="0"/>
        <v>7227.3</v>
      </c>
      <c r="V23" s="40">
        <v>672</v>
      </c>
      <c r="W23" s="40">
        <v>402</v>
      </c>
      <c r="X23" s="40">
        <v>438.24</v>
      </c>
      <c r="Y23" s="40">
        <v>0</v>
      </c>
      <c r="Z23" s="40">
        <f t="shared" si="14"/>
        <v>1149.8309999999999</v>
      </c>
      <c r="AA23" s="40">
        <f t="shared" si="1"/>
        <v>229.96619999999999</v>
      </c>
      <c r="AB23" s="41">
        <v>540.51</v>
      </c>
      <c r="AC23" s="40">
        <f t="shared" si="2"/>
        <v>153.3108</v>
      </c>
      <c r="AD23" s="40">
        <f t="shared" si="3"/>
        <v>3613.65</v>
      </c>
      <c r="AE23" s="42">
        <v>375</v>
      </c>
      <c r="AF23" s="42">
        <v>0</v>
      </c>
      <c r="AG23" s="40">
        <f t="shared" si="15"/>
        <v>56.25</v>
      </c>
      <c r="AH23" s="40">
        <f t="shared" si="4"/>
        <v>11.25</v>
      </c>
      <c r="AI23" s="40">
        <f t="shared" si="5"/>
        <v>45.99324</v>
      </c>
      <c r="AJ23" s="40">
        <f t="shared" si="6"/>
        <v>7.5</v>
      </c>
      <c r="AK23" s="42">
        <f t="shared" si="7"/>
        <v>21.6204</v>
      </c>
      <c r="AL23" s="42">
        <f t="shared" si="7"/>
        <v>6.1324320000000005</v>
      </c>
      <c r="AM23" s="42">
        <v>0</v>
      </c>
      <c r="AN23" s="42">
        <f t="shared" si="8"/>
        <v>62.5</v>
      </c>
      <c r="AO23" s="42">
        <f t="shared" si="9"/>
        <v>187.5</v>
      </c>
      <c r="AP23" s="42">
        <f t="shared" si="10"/>
        <v>625</v>
      </c>
      <c r="AQ23" s="42">
        <f t="shared" si="11"/>
        <v>7159.9528640000008</v>
      </c>
      <c r="AR23" s="40">
        <f t="shared" si="12"/>
        <v>1204.55</v>
      </c>
      <c r="AS23" s="40">
        <f t="shared" si="13"/>
        <v>12045.5</v>
      </c>
      <c r="AT23" s="40">
        <v>7200</v>
      </c>
      <c r="AU23" s="40">
        <f t="shared" si="16"/>
        <v>160981.54886400001</v>
      </c>
      <c r="AV23" s="49"/>
      <c r="AW23" s="29"/>
      <c r="AX23" s="29"/>
      <c r="AY23" s="29"/>
      <c r="AZ23" s="29"/>
      <c r="BA23" s="30"/>
      <c r="BB23" s="30"/>
      <c r="BC23" s="30"/>
      <c r="BD23" s="30"/>
    </row>
    <row r="24" spans="2:56" ht="18" x14ac:dyDescent="0.25">
      <c r="B24" s="32">
        <v>20</v>
      </c>
      <c r="C24" s="33">
        <v>10</v>
      </c>
      <c r="D24" s="33">
        <v>1</v>
      </c>
      <c r="E24" s="32">
        <v>20</v>
      </c>
      <c r="F24" s="32">
        <v>20</v>
      </c>
      <c r="G24" s="32">
        <v>270</v>
      </c>
      <c r="H24" s="32"/>
      <c r="I24" s="34" t="s">
        <v>112</v>
      </c>
      <c r="J24" s="35" t="s">
        <v>113</v>
      </c>
      <c r="K24" s="37">
        <f>2014-1998</f>
        <v>16</v>
      </c>
      <c r="L24" s="33" t="s">
        <v>63</v>
      </c>
      <c r="M24" s="33">
        <v>4</v>
      </c>
      <c r="N24" s="33">
        <v>30</v>
      </c>
      <c r="O24" s="33" t="s">
        <v>57</v>
      </c>
      <c r="P24" s="38" t="s">
        <v>68</v>
      </c>
      <c r="Q24" s="39" t="s">
        <v>59</v>
      </c>
      <c r="R24" s="39" t="s">
        <v>60</v>
      </c>
      <c r="S24" s="40">
        <v>7491</v>
      </c>
      <c r="T24" s="40">
        <v>0</v>
      </c>
      <c r="U24" s="40">
        <f t="shared" si="0"/>
        <v>7491</v>
      </c>
      <c r="V24" s="40">
        <v>682</v>
      </c>
      <c r="W24" s="40">
        <v>412</v>
      </c>
      <c r="X24" s="40">
        <v>365.2</v>
      </c>
      <c r="Y24" s="40">
        <v>0</v>
      </c>
      <c r="Z24" s="40">
        <f t="shared" si="14"/>
        <v>1178.4299999999998</v>
      </c>
      <c r="AA24" s="40">
        <f t="shared" si="1"/>
        <v>235.68599999999998</v>
      </c>
      <c r="AB24" s="41">
        <v>547.83000000000004</v>
      </c>
      <c r="AC24" s="40">
        <f t="shared" si="2"/>
        <v>157.124</v>
      </c>
      <c r="AD24" s="40">
        <f t="shared" si="3"/>
        <v>3745.5</v>
      </c>
      <c r="AE24" s="42">
        <v>375</v>
      </c>
      <c r="AF24" s="42">
        <v>0</v>
      </c>
      <c r="AG24" s="40">
        <f t="shared" si="15"/>
        <v>56.25</v>
      </c>
      <c r="AH24" s="40">
        <f t="shared" si="4"/>
        <v>11.25</v>
      </c>
      <c r="AI24" s="40">
        <f t="shared" si="5"/>
        <v>47.137199999999993</v>
      </c>
      <c r="AJ24" s="40">
        <f t="shared" si="6"/>
        <v>7.5</v>
      </c>
      <c r="AK24" s="42">
        <f t="shared" si="7"/>
        <v>21.913200000000003</v>
      </c>
      <c r="AL24" s="42">
        <f t="shared" si="7"/>
        <v>6.2849599999999999</v>
      </c>
      <c r="AM24" s="42">
        <v>0</v>
      </c>
      <c r="AN24" s="42">
        <f t="shared" si="8"/>
        <v>62.5</v>
      </c>
      <c r="AO24" s="42">
        <f t="shared" si="9"/>
        <v>187.5</v>
      </c>
      <c r="AP24" s="42">
        <f t="shared" si="10"/>
        <v>625</v>
      </c>
      <c r="AQ24" s="42">
        <f t="shared" si="11"/>
        <v>7179.0243199999986</v>
      </c>
      <c r="AR24" s="40">
        <f t="shared" si="12"/>
        <v>1248.5</v>
      </c>
      <c r="AS24" s="40">
        <f t="shared" si="13"/>
        <v>12485</v>
      </c>
      <c r="AT24" s="40">
        <v>7200</v>
      </c>
      <c r="AU24" s="40">
        <f t="shared" si="16"/>
        <v>164689.26431999999</v>
      </c>
      <c r="AV24" s="52"/>
      <c r="AW24" s="29"/>
      <c r="AX24" s="29"/>
      <c r="AY24" s="29"/>
      <c r="AZ24" s="29"/>
      <c r="BA24" s="30"/>
      <c r="BB24" s="30"/>
      <c r="BC24" s="30"/>
      <c r="BD24" s="30"/>
    </row>
    <row r="25" spans="2:56" ht="18" x14ac:dyDescent="0.25">
      <c r="B25" s="32">
        <v>21</v>
      </c>
      <c r="C25" s="33">
        <v>10</v>
      </c>
      <c r="D25" s="33">
        <v>1</v>
      </c>
      <c r="E25" s="32">
        <v>20</v>
      </c>
      <c r="F25" s="32">
        <v>21</v>
      </c>
      <c r="G25" s="32">
        <v>270</v>
      </c>
      <c r="H25" s="32"/>
      <c r="I25" s="34" t="s">
        <v>114</v>
      </c>
      <c r="J25" s="35" t="s">
        <v>115</v>
      </c>
      <c r="K25" s="37">
        <f>2014-1994</f>
        <v>20</v>
      </c>
      <c r="L25" s="33" t="s">
        <v>63</v>
      </c>
      <c r="M25" s="33">
        <v>6</v>
      </c>
      <c r="N25" s="33">
        <v>30</v>
      </c>
      <c r="O25" s="33" t="s">
        <v>57</v>
      </c>
      <c r="P25" s="38" t="s">
        <v>58</v>
      </c>
      <c r="Q25" s="39" t="s">
        <v>59</v>
      </c>
      <c r="R25" s="39" t="s">
        <v>60</v>
      </c>
      <c r="S25" s="40">
        <v>8051.1</v>
      </c>
      <c r="T25" s="40">
        <v>0</v>
      </c>
      <c r="U25" s="40">
        <f t="shared" si="0"/>
        <v>8051.1</v>
      </c>
      <c r="V25" s="40">
        <v>767</v>
      </c>
      <c r="W25" s="40">
        <v>513</v>
      </c>
      <c r="X25" s="40">
        <v>438</v>
      </c>
      <c r="Y25" s="40">
        <v>0</v>
      </c>
      <c r="Z25" s="40">
        <f t="shared" si="14"/>
        <v>1273.365</v>
      </c>
      <c r="AA25" s="40">
        <f t="shared" si="1"/>
        <v>254.673</v>
      </c>
      <c r="AB25" s="41">
        <v>565.37</v>
      </c>
      <c r="AC25" s="40">
        <f t="shared" si="2"/>
        <v>169.78200000000001</v>
      </c>
      <c r="AD25" s="40">
        <f t="shared" si="3"/>
        <v>4025.55</v>
      </c>
      <c r="AE25" s="42">
        <v>338</v>
      </c>
      <c r="AF25" s="42">
        <v>70.099999999999994</v>
      </c>
      <c r="AG25" s="40">
        <f t="shared" si="15"/>
        <v>61.215000000000003</v>
      </c>
      <c r="AH25" s="40">
        <f t="shared" si="4"/>
        <v>12.243</v>
      </c>
      <c r="AI25" s="40">
        <f t="shared" si="5"/>
        <v>50.934600000000003</v>
      </c>
      <c r="AJ25" s="40">
        <f t="shared" si="6"/>
        <v>8.1620000000000008</v>
      </c>
      <c r="AK25" s="42">
        <f t="shared" si="7"/>
        <v>22.614799999999999</v>
      </c>
      <c r="AL25" s="42">
        <f t="shared" si="7"/>
        <v>6.7912800000000004</v>
      </c>
      <c r="AM25" s="42">
        <v>0</v>
      </c>
      <c r="AN25" s="42">
        <f t="shared" si="8"/>
        <v>56.333333333333336</v>
      </c>
      <c r="AO25" s="42">
        <f t="shared" si="9"/>
        <v>169</v>
      </c>
      <c r="AP25" s="42">
        <f t="shared" si="10"/>
        <v>563.33333333333337</v>
      </c>
      <c r="AQ25" s="42">
        <f t="shared" si="11"/>
        <v>7629.3948266666675</v>
      </c>
      <c r="AR25" s="40">
        <f t="shared" si="12"/>
        <v>1341.85</v>
      </c>
      <c r="AS25" s="40">
        <f t="shared" si="13"/>
        <v>13418.5</v>
      </c>
      <c r="AT25" s="40">
        <v>7200</v>
      </c>
      <c r="AU25" s="40">
        <f t="shared" si="16"/>
        <v>178002.77482666669</v>
      </c>
      <c r="AV25" s="52"/>
      <c r="AW25" s="29"/>
      <c r="AX25" s="29"/>
      <c r="AY25" s="29"/>
      <c r="AZ25" s="29"/>
      <c r="BA25" s="30"/>
      <c r="BB25" s="30"/>
      <c r="BC25" s="30"/>
      <c r="BD25" s="30"/>
    </row>
    <row r="26" spans="2:56" ht="18" x14ac:dyDescent="0.25">
      <c r="B26" s="32">
        <v>22</v>
      </c>
      <c r="C26" s="33">
        <v>10</v>
      </c>
      <c r="D26" s="33">
        <v>1</v>
      </c>
      <c r="E26" s="32">
        <v>20</v>
      </c>
      <c r="F26" s="32">
        <v>22</v>
      </c>
      <c r="G26" s="32">
        <v>270</v>
      </c>
      <c r="H26" s="32"/>
      <c r="I26" s="34" t="s">
        <v>116</v>
      </c>
      <c r="J26" s="35" t="s">
        <v>117</v>
      </c>
      <c r="K26" s="37">
        <f>2014-1998</f>
        <v>16</v>
      </c>
      <c r="L26" s="33" t="s">
        <v>63</v>
      </c>
      <c r="M26" s="33">
        <v>7</v>
      </c>
      <c r="N26" s="33">
        <v>30</v>
      </c>
      <c r="O26" s="33" t="s">
        <v>57</v>
      </c>
      <c r="P26" s="38" t="s">
        <v>79</v>
      </c>
      <c r="Q26" s="39" t="s">
        <v>59</v>
      </c>
      <c r="R26" s="39" t="s">
        <v>60</v>
      </c>
      <c r="S26" s="40">
        <v>8424</v>
      </c>
      <c r="T26" s="40">
        <v>0</v>
      </c>
      <c r="U26" s="40">
        <f t="shared" si="0"/>
        <v>8424</v>
      </c>
      <c r="V26" s="40">
        <v>775</v>
      </c>
      <c r="W26" s="40">
        <v>523</v>
      </c>
      <c r="X26" s="40">
        <v>365.2</v>
      </c>
      <c r="Y26" s="40">
        <v>0</v>
      </c>
      <c r="Z26" s="40">
        <f t="shared" si="14"/>
        <v>1318.38</v>
      </c>
      <c r="AA26" s="40">
        <f t="shared" si="1"/>
        <v>263.67599999999999</v>
      </c>
      <c r="AB26" s="41">
        <v>575.61</v>
      </c>
      <c r="AC26" s="40">
        <f t="shared" si="2"/>
        <v>175.78400000000002</v>
      </c>
      <c r="AD26" s="40">
        <f t="shared" si="3"/>
        <v>4212</v>
      </c>
      <c r="AE26" s="42">
        <v>450</v>
      </c>
      <c r="AF26" s="42">
        <v>0</v>
      </c>
      <c r="AG26" s="40">
        <f t="shared" si="15"/>
        <v>67.5</v>
      </c>
      <c r="AH26" s="40">
        <f t="shared" si="4"/>
        <v>13.5</v>
      </c>
      <c r="AI26" s="40">
        <f t="shared" si="5"/>
        <v>52.735200000000006</v>
      </c>
      <c r="AJ26" s="40">
        <f t="shared" si="6"/>
        <v>9</v>
      </c>
      <c r="AK26" s="42">
        <f t="shared" si="7"/>
        <v>23.0244</v>
      </c>
      <c r="AL26" s="42">
        <f t="shared" si="7"/>
        <v>7.0313600000000012</v>
      </c>
      <c r="AM26" s="42">
        <v>0</v>
      </c>
      <c r="AN26" s="42">
        <f t="shared" si="8"/>
        <v>75</v>
      </c>
      <c r="AO26" s="42">
        <f t="shared" si="9"/>
        <v>225</v>
      </c>
      <c r="AP26" s="42">
        <f t="shared" si="10"/>
        <v>750</v>
      </c>
      <c r="AQ26" s="42">
        <f t="shared" si="11"/>
        <v>8523.4915199999996</v>
      </c>
      <c r="AR26" s="40">
        <f t="shared" si="12"/>
        <v>1404</v>
      </c>
      <c r="AS26" s="40">
        <f t="shared" si="13"/>
        <v>14040</v>
      </c>
      <c r="AT26" s="40">
        <v>7200</v>
      </c>
      <c r="AU26" s="40">
        <f t="shared" si="16"/>
        <v>184427.29152000003</v>
      </c>
      <c r="AV26" s="45"/>
      <c r="AW26" s="29"/>
      <c r="AX26" s="29"/>
      <c r="AY26" s="29"/>
      <c r="AZ26" s="29"/>
      <c r="BA26" s="30"/>
      <c r="BB26" s="30"/>
      <c r="BC26" s="30"/>
      <c r="BD26" s="30"/>
    </row>
    <row r="27" spans="2:56" ht="18" x14ac:dyDescent="0.25">
      <c r="B27" s="32">
        <v>23</v>
      </c>
      <c r="C27" s="33">
        <v>10</v>
      </c>
      <c r="D27" s="33">
        <v>1</v>
      </c>
      <c r="E27" s="32">
        <v>20</v>
      </c>
      <c r="F27" s="32">
        <v>23</v>
      </c>
      <c r="G27" s="32">
        <v>270</v>
      </c>
      <c r="H27" s="32"/>
      <c r="I27" s="34" t="s">
        <v>118</v>
      </c>
      <c r="J27" s="35" t="s">
        <v>119</v>
      </c>
      <c r="K27" s="37">
        <f>2014-1985</f>
        <v>29</v>
      </c>
      <c r="L27" s="33" t="s">
        <v>63</v>
      </c>
      <c r="M27" s="33">
        <v>7</v>
      </c>
      <c r="N27" s="33">
        <v>40</v>
      </c>
      <c r="O27" s="33" t="s">
        <v>57</v>
      </c>
      <c r="P27" s="38" t="s">
        <v>120</v>
      </c>
      <c r="Q27" s="39" t="s">
        <v>121</v>
      </c>
      <c r="R27" s="39" t="s">
        <v>74</v>
      </c>
      <c r="S27" s="40">
        <v>10797.6</v>
      </c>
      <c r="T27" s="40">
        <v>0</v>
      </c>
      <c r="U27" s="40">
        <f t="shared" si="0"/>
        <v>10797.6</v>
      </c>
      <c r="V27" s="40">
        <v>1006</v>
      </c>
      <c r="W27" s="40">
        <v>680</v>
      </c>
      <c r="X27" s="40">
        <v>511.28</v>
      </c>
      <c r="Y27" s="40">
        <f>U27/30*25%*52</f>
        <v>4678.96</v>
      </c>
      <c r="Z27" s="40">
        <f t="shared" si="14"/>
        <v>1696.3320000000001</v>
      </c>
      <c r="AA27" s="40">
        <f t="shared" si="1"/>
        <v>339.26640000000003</v>
      </c>
      <c r="AB27" s="41">
        <v>646.22</v>
      </c>
      <c r="AC27" s="40">
        <f t="shared" si="2"/>
        <v>226.17760000000001</v>
      </c>
      <c r="AD27" s="40">
        <f t="shared" si="3"/>
        <v>5398.8</v>
      </c>
      <c r="AE27" s="42">
        <v>450</v>
      </c>
      <c r="AF27" s="42">
        <v>70.099999999999994</v>
      </c>
      <c r="AG27" s="40">
        <f t="shared" si="15"/>
        <v>78.015000000000001</v>
      </c>
      <c r="AH27" s="40">
        <f t="shared" si="4"/>
        <v>15.603</v>
      </c>
      <c r="AI27" s="40">
        <f t="shared" si="5"/>
        <v>67.853280000000012</v>
      </c>
      <c r="AJ27" s="40">
        <f t="shared" si="6"/>
        <v>10.402000000000001</v>
      </c>
      <c r="AK27" s="42">
        <f t="shared" si="7"/>
        <v>25.848800000000001</v>
      </c>
      <c r="AL27" s="42">
        <f t="shared" si="7"/>
        <v>9.0471040000000009</v>
      </c>
      <c r="AM27" s="42">
        <f>U27*6.58%</f>
        <v>710.48208</v>
      </c>
      <c r="AN27" s="42">
        <f t="shared" si="8"/>
        <v>75</v>
      </c>
      <c r="AO27" s="42">
        <f t="shared" si="9"/>
        <v>225</v>
      </c>
      <c r="AP27" s="42">
        <f t="shared" si="10"/>
        <v>750</v>
      </c>
      <c r="AQ27" s="42">
        <f t="shared" si="11"/>
        <v>10482.912288</v>
      </c>
      <c r="AR27" s="40">
        <f t="shared" si="12"/>
        <v>1799.6000000000001</v>
      </c>
      <c r="AS27" s="40">
        <f t="shared" si="13"/>
        <v>17996</v>
      </c>
      <c r="AT27" s="40">
        <v>7200</v>
      </c>
      <c r="AU27" s="40">
        <f t="shared" si="16"/>
        <v>238390.78428800002</v>
      </c>
      <c r="AV27" s="45"/>
      <c r="AW27" s="29"/>
      <c r="AX27" s="29"/>
      <c r="AY27" s="29"/>
      <c r="AZ27" s="29"/>
      <c r="BA27" s="30"/>
      <c r="BB27" s="30"/>
      <c r="BC27" s="30"/>
      <c r="BD27" s="30"/>
    </row>
    <row r="28" spans="2:56" ht="18" x14ac:dyDescent="0.25">
      <c r="B28" s="32">
        <v>24</v>
      </c>
      <c r="C28" s="33">
        <v>10</v>
      </c>
      <c r="D28" s="33">
        <v>1</v>
      </c>
      <c r="E28" s="32">
        <v>20</v>
      </c>
      <c r="F28" s="32">
        <v>24</v>
      </c>
      <c r="G28" s="32">
        <v>270</v>
      </c>
      <c r="H28" s="32"/>
      <c r="I28" s="34" t="s">
        <v>122</v>
      </c>
      <c r="J28" s="35" t="s">
        <v>123</v>
      </c>
      <c r="K28" s="37">
        <f>2014-1996</f>
        <v>18</v>
      </c>
      <c r="L28" s="33" t="s">
        <v>56</v>
      </c>
      <c r="M28" s="33">
        <v>8</v>
      </c>
      <c r="N28" s="33">
        <v>40</v>
      </c>
      <c r="O28" s="33" t="s">
        <v>57</v>
      </c>
      <c r="P28" s="38" t="s">
        <v>124</v>
      </c>
      <c r="Q28" s="39" t="s">
        <v>125</v>
      </c>
      <c r="R28" s="39" t="s">
        <v>74</v>
      </c>
      <c r="S28" s="40">
        <v>11272.5</v>
      </c>
      <c r="T28" s="40">
        <v>0</v>
      </c>
      <c r="U28" s="40">
        <f t="shared" si="0"/>
        <v>11272.5</v>
      </c>
      <c r="V28" s="40">
        <v>1021</v>
      </c>
      <c r="W28" s="40">
        <v>695</v>
      </c>
      <c r="X28" s="40">
        <v>365.2</v>
      </c>
      <c r="Y28" s="40">
        <v>0</v>
      </c>
      <c r="Z28" s="40">
        <f t="shared" si="14"/>
        <v>1745.655</v>
      </c>
      <c r="AA28" s="40">
        <f t="shared" si="1"/>
        <v>349.13100000000003</v>
      </c>
      <c r="AB28" s="41">
        <v>659.29</v>
      </c>
      <c r="AC28" s="40">
        <f t="shared" si="2"/>
        <v>232.75400000000002</v>
      </c>
      <c r="AD28" s="40">
        <f t="shared" si="3"/>
        <v>5636.25</v>
      </c>
      <c r="AE28" s="42">
        <v>375</v>
      </c>
      <c r="AF28" s="42">
        <v>0</v>
      </c>
      <c r="AG28" s="40">
        <f t="shared" si="15"/>
        <v>56.25</v>
      </c>
      <c r="AH28" s="40">
        <f t="shared" si="4"/>
        <v>11.25</v>
      </c>
      <c r="AI28" s="40">
        <f t="shared" si="5"/>
        <v>69.8262</v>
      </c>
      <c r="AJ28" s="40">
        <f t="shared" si="6"/>
        <v>7.5</v>
      </c>
      <c r="AK28" s="42">
        <f t="shared" si="7"/>
        <v>26.371600000000001</v>
      </c>
      <c r="AL28" s="42">
        <f t="shared" si="7"/>
        <v>9.3101600000000015</v>
      </c>
      <c r="AM28" s="42">
        <v>0</v>
      </c>
      <c r="AN28" s="42">
        <f t="shared" si="8"/>
        <v>62.5</v>
      </c>
      <c r="AO28" s="42">
        <f t="shared" si="9"/>
        <v>187.5</v>
      </c>
      <c r="AP28" s="42">
        <f t="shared" si="10"/>
        <v>625</v>
      </c>
      <c r="AQ28" s="42">
        <f t="shared" si="11"/>
        <v>7541.0955199999989</v>
      </c>
      <c r="AR28" s="40">
        <f t="shared" si="12"/>
        <v>1878.75</v>
      </c>
      <c r="AS28" s="40">
        <f t="shared" si="13"/>
        <v>18787.5</v>
      </c>
      <c r="AT28" s="40">
        <v>7200</v>
      </c>
      <c r="AU28" s="40">
        <f t="shared" si="16"/>
        <v>237129.95552000005</v>
      </c>
      <c r="AV28" s="49"/>
      <c r="AW28" s="29"/>
      <c r="AX28" s="29"/>
      <c r="AY28" s="29"/>
      <c r="AZ28" s="29"/>
      <c r="BA28" s="30"/>
      <c r="BB28" s="30"/>
      <c r="BC28" s="30"/>
      <c r="BD28" s="30"/>
    </row>
    <row r="29" spans="2:56" ht="18" x14ac:dyDescent="0.25">
      <c r="B29" s="32">
        <v>25</v>
      </c>
      <c r="C29" s="33">
        <v>10</v>
      </c>
      <c r="D29" s="33">
        <v>1</v>
      </c>
      <c r="E29" s="32">
        <v>20</v>
      </c>
      <c r="F29" s="32">
        <v>25</v>
      </c>
      <c r="G29" s="32">
        <v>270</v>
      </c>
      <c r="H29" s="32"/>
      <c r="I29" s="34" t="s">
        <v>126</v>
      </c>
      <c r="J29" s="35" t="s">
        <v>127</v>
      </c>
      <c r="K29" s="37">
        <f>2014-1993</f>
        <v>21</v>
      </c>
      <c r="L29" s="33" t="s">
        <v>63</v>
      </c>
      <c r="M29" s="33">
        <v>3</v>
      </c>
      <c r="N29" s="33">
        <v>30</v>
      </c>
      <c r="O29" s="33" t="s">
        <v>57</v>
      </c>
      <c r="P29" s="38" t="s">
        <v>64</v>
      </c>
      <c r="Q29" s="39" t="s">
        <v>65</v>
      </c>
      <c r="R29" s="39" t="s">
        <v>74</v>
      </c>
      <c r="S29" s="40">
        <v>7227.3</v>
      </c>
      <c r="T29" s="40">
        <v>0</v>
      </c>
      <c r="U29" s="40">
        <f t="shared" si="0"/>
        <v>7227.3</v>
      </c>
      <c r="V29" s="40">
        <v>672</v>
      </c>
      <c r="W29" s="40">
        <v>402</v>
      </c>
      <c r="X29" s="40">
        <v>438</v>
      </c>
      <c r="Y29" s="40">
        <v>0</v>
      </c>
      <c r="Z29" s="40">
        <f t="shared" si="14"/>
        <v>1149.7950000000001</v>
      </c>
      <c r="AA29" s="40">
        <f t="shared" si="1"/>
        <v>229.959</v>
      </c>
      <c r="AB29" s="41">
        <v>540.51</v>
      </c>
      <c r="AC29" s="40">
        <f t="shared" si="2"/>
        <v>153.30600000000001</v>
      </c>
      <c r="AD29" s="40">
        <f t="shared" si="3"/>
        <v>3613.65</v>
      </c>
      <c r="AE29" s="42">
        <v>375</v>
      </c>
      <c r="AF29" s="42">
        <v>0</v>
      </c>
      <c r="AG29" s="40">
        <f t="shared" si="15"/>
        <v>56.25</v>
      </c>
      <c r="AH29" s="40">
        <f t="shared" si="4"/>
        <v>11.25</v>
      </c>
      <c r="AI29" s="40">
        <f t="shared" si="5"/>
        <v>45.991800000000005</v>
      </c>
      <c r="AJ29" s="40">
        <f t="shared" si="6"/>
        <v>7.5</v>
      </c>
      <c r="AK29" s="42">
        <f t="shared" si="7"/>
        <v>21.6204</v>
      </c>
      <c r="AL29" s="42">
        <f t="shared" si="7"/>
        <v>6.1322400000000004</v>
      </c>
      <c r="AM29" s="42">
        <v>0</v>
      </c>
      <c r="AN29" s="42">
        <f t="shared" si="8"/>
        <v>62.5</v>
      </c>
      <c r="AO29" s="42">
        <f t="shared" si="9"/>
        <v>187.5</v>
      </c>
      <c r="AP29" s="42">
        <f t="shared" si="10"/>
        <v>625</v>
      </c>
      <c r="AQ29" s="42">
        <f t="shared" si="11"/>
        <v>7159.9332800000011</v>
      </c>
      <c r="AR29" s="40">
        <f t="shared" si="12"/>
        <v>1204.55</v>
      </c>
      <c r="AS29" s="40">
        <f t="shared" si="13"/>
        <v>12045.5</v>
      </c>
      <c r="AT29" s="40">
        <v>7200</v>
      </c>
      <c r="AU29" s="40">
        <f t="shared" si="16"/>
        <v>160978.07328000001</v>
      </c>
      <c r="AV29" s="51"/>
      <c r="AW29" s="29"/>
      <c r="AX29" s="29"/>
      <c r="AY29" s="29"/>
      <c r="AZ29" s="29"/>
      <c r="BA29" s="30"/>
      <c r="BB29" s="30"/>
      <c r="BC29" s="30"/>
      <c r="BD29" s="30"/>
    </row>
    <row r="30" spans="2:56" ht="18" x14ac:dyDescent="0.25">
      <c r="B30" s="32">
        <v>26</v>
      </c>
      <c r="C30" s="33">
        <v>10</v>
      </c>
      <c r="D30" s="33">
        <v>1</v>
      </c>
      <c r="E30" s="32">
        <v>20</v>
      </c>
      <c r="F30" s="32">
        <v>26</v>
      </c>
      <c r="G30" s="32">
        <v>270</v>
      </c>
      <c r="H30" s="32"/>
      <c r="I30" s="34" t="s">
        <v>128</v>
      </c>
      <c r="J30" s="35" t="s">
        <v>129</v>
      </c>
      <c r="K30" s="37">
        <f>2014-2002</f>
        <v>12</v>
      </c>
      <c r="L30" s="33" t="s">
        <v>63</v>
      </c>
      <c r="M30" s="33">
        <v>13</v>
      </c>
      <c r="N30" s="33">
        <v>30</v>
      </c>
      <c r="O30" s="33" t="s">
        <v>57</v>
      </c>
      <c r="P30" s="38" t="s">
        <v>130</v>
      </c>
      <c r="Q30" s="39" t="s">
        <v>73</v>
      </c>
      <c r="R30" s="39" t="s">
        <v>74</v>
      </c>
      <c r="S30" s="40">
        <v>10161</v>
      </c>
      <c r="T30" s="40">
        <v>0</v>
      </c>
      <c r="U30" s="40">
        <f t="shared" si="0"/>
        <v>10161</v>
      </c>
      <c r="V30" s="40">
        <f>846+80</f>
        <v>926</v>
      </c>
      <c r="W30" s="40">
        <f>528+50</f>
        <v>578</v>
      </c>
      <c r="X30" s="40">
        <v>292</v>
      </c>
      <c r="Y30" s="40">
        <v>0</v>
      </c>
      <c r="Z30" s="40">
        <f t="shared" si="14"/>
        <v>1567.95</v>
      </c>
      <c r="AA30" s="40">
        <f t="shared" si="1"/>
        <v>313.58999999999997</v>
      </c>
      <c r="AB30" s="41">
        <v>626.44000000000005</v>
      </c>
      <c r="AC30" s="40">
        <f t="shared" si="2"/>
        <v>209.06</v>
      </c>
      <c r="AD30" s="40">
        <f t="shared" si="3"/>
        <v>5080.5</v>
      </c>
      <c r="AE30" s="42">
        <v>300</v>
      </c>
      <c r="AF30" s="42">
        <v>0</v>
      </c>
      <c r="AG30" s="40">
        <f t="shared" si="15"/>
        <v>45</v>
      </c>
      <c r="AH30" s="40">
        <f t="shared" si="4"/>
        <v>9</v>
      </c>
      <c r="AI30" s="40">
        <f t="shared" si="5"/>
        <v>62.718000000000004</v>
      </c>
      <c r="AJ30" s="40">
        <f t="shared" si="6"/>
        <v>6</v>
      </c>
      <c r="AK30" s="42">
        <f t="shared" si="7"/>
        <v>25.057600000000004</v>
      </c>
      <c r="AL30" s="42">
        <f t="shared" si="7"/>
        <v>8.3624000000000009</v>
      </c>
      <c r="AM30" s="42">
        <v>0</v>
      </c>
      <c r="AN30" s="42">
        <f t="shared" si="8"/>
        <v>50</v>
      </c>
      <c r="AO30" s="42">
        <f t="shared" si="9"/>
        <v>150</v>
      </c>
      <c r="AP30" s="42">
        <f t="shared" si="10"/>
        <v>500</v>
      </c>
      <c r="AQ30" s="42">
        <f t="shared" si="11"/>
        <v>6173.6559999999999</v>
      </c>
      <c r="AR30" s="40">
        <f t="shared" si="12"/>
        <v>1693.5</v>
      </c>
      <c r="AS30" s="40">
        <f t="shared" si="13"/>
        <v>16935</v>
      </c>
      <c r="AT30" s="40">
        <v>7200</v>
      </c>
      <c r="AU30" s="40">
        <f t="shared" si="16"/>
        <v>213171.136</v>
      </c>
      <c r="AV30" s="45"/>
      <c r="AW30" s="29"/>
      <c r="AX30" s="29"/>
      <c r="AY30" s="29"/>
      <c r="AZ30" s="29"/>
      <c r="BA30" s="30"/>
      <c r="BB30" s="30"/>
      <c r="BC30" s="30"/>
      <c r="BD30" s="30"/>
    </row>
    <row r="31" spans="2:56" ht="18" x14ac:dyDescent="0.25">
      <c r="B31" s="32">
        <v>27</v>
      </c>
      <c r="C31" s="33">
        <v>10</v>
      </c>
      <c r="D31" s="33">
        <v>1</v>
      </c>
      <c r="E31" s="32">
        <v>20</v>
      </c>
      <c r="F31" s="32">
        <v>27</v>
      </c>
      <c r="G31" s="32">
        <v>270</v>
      </c>
      <c r="H31" s="32"/>
      <c r="I31" s="34" t="s">
        <v>131</v>
      </c>
      <c r="J31" s="35" t="s">
        <v>132</v>
      </c>
      <c r="K31" s="37">
        <f>2014-1985</f>
        <v>29</v>
      </c>
      <c r="L31" s="33" t="s">
        <v>63</v>
      </c>
      <c r="M31" s="33">
        <v>8</v>
      </c>
      <c r="N31" s="33">
        <v>40</v>
      </c>
      <c r="O31" s="33" t="s">
        <v>57</v>
      </c>
      <c r="P31" s="38" t="s">
        <v>92</v>
      </c>
      <c r="Q31" s="39" t="s">
        <v>59</v>
      </c>
      <c r="R31" s="39" t="s">
        <v>60</v>
      </c>
      <c r="S31" s="40">
        <v>11272.5</v>
      </c>
      <c r="T31" s="40">
        <v>0</v>
      </c>
      <c r="U31" s="40">
        <f>+S31+T31</f>
        <v>11272.5</v>
      </c>
      <c r="V31" s="40">
        <v>1021</v>
      </c>
      <c r="W31" s="40">
        <v>695</v>
      </c>
      <c r="X31" s="40">
        <v>511.28</v>
      </c>
      <c r="Y31" s="40">
        <f>U31/30*25%*52</f>
        <v>4884.75</v>
      </c>
      <c r="Z31" s="40">
        <f t="shared" si="14"/>
        <v>1767.567</v>
      </c>
      <c r="AA31" s="40">
        <f>(U31+X31)*3%</f>
        <v>353.51339999999999</v>
      </c>
      <c r="AB31" s="41">
        <v>659.56</v>
      </c>
      <c r="AC31" s="40">
        <f>(U31+X31)*2%</f>
        <v>235.67560000000003</v>
      </c>
      <c r="AD31" s="40">
        <f>U31/30*15</f>
        <v>5636.25</v>
      </c>
      <c r="AE31" s="42">
        <v>450</v>
      </c>
      <c r="AF31" s="42">
        <v>0</v>
      </c>
      <c r="AG31" s="40">
        <f t="shared" si="15"/>
        <v>67.5</v>
      </c>
      <c r="AH31" s="40">
        <f>(AE31+AF31)*3%</f>
        <v>13.5</v>
      </c>
      <c r="AI31" s="40">
        <f>Z31*4%</f>
        <v>70.702680000000001</v>
      </c>
      <c r="AJ31" s="40">
        <f>(AE31+AF31)*2%</f>
        <v>9</v>
      </c>
      <c r="AK31" s="42">
        <f>AB31*4%</f>
        <v>26.382399999999997</v>
      </c>
      <c r="AL31" s="42">
        <f>AC31*4%</f>
        <v>9.4270240000000012</v>
      </c>
      <c r="AM31" s="42">
        <f>U31*6.58%</f>
        <v>741.73050000000001</v>
      </c>
      <c r="AN31" s="42">
        <f>AE31/30*5</f>
        <v>75</v>
      </c>
      <c r="AO31" s="42">
        <f>AE31/30*15</f>
        <v>225</v>
      </c>
      <c r="AP31" s="42">
        <f>AE31/30*50</f>
        <v>750</v>
      </c>
      <c r="AQ31" s="42">
        <f>SUM(AE31+AF31+AG31+AH31+AI31+AJ31+AK31+AL31)*12+(AM31+AN31+AO31+AP31)</f>
        <v>9549.8757479999986</v>
      </c>
      <c r="AR31" s="40">
        <f>+U31/30*5</f>
        <v>1878.75</v>
      </c>
      <c r="AS31" s="40">
        <f>+U31/30*50</f>
        <v>18787.5</v>
      </c>
      <c r="AT31" s="40">
        <v>7200</v>
      </c>
      <c r="AU31" s="40">
        <f t="shared" si="16"/>
        <v>246130.27774799999</v>
      </c>
      <c r="AV31" s="53"/>
      <c r="AW31" s="46"/>
      <c r="AX31" s="46"/>
      <c r="AY31" s="29"/>
      <c r="AZ31" s="29"/>
      <c r="BA31" s="30"/>
      <c r="BB31" s="30"/>
      <c r="BC31" s="30"/>
      <c r="BD31" s="30"/>
    </row>
    <row r="32" spans="2:56" s="10" customFormat="1" ht="18" x14ac:dyDescent="0.25">
      <c r="B32" s="32">
        <v>28</v>
      </c>
      <c r="C32" s="33">
        <v>10</v>
      </c>
      <c r="D32" s="33">
        <v>1</v>
      </c>
      <c r="E32" s="32">
        <v>20</v>
      </c>
      <c r="F32" s="32">
        <v>28</v>
      </c>
      <c r="G32" s="32">
        <v>270</v>
      </c>
      <c r="H32" s="32"/>
      <c r="I32" s="34" t="s">
        <v>133</v>
      </c>
      <c r="J32" s="35" t="s">
        <v>134</v>
      </c>
      <c r="K32" s="37">
        <f>2014-2002</f>
        <v>12</v>
      </c>
      <c r="L32" s="33" t="s">
        <v>56</v>
      </c>
      <c r="M32" s="33">
        <v>4</v>
      </c>
      <c r="N32" s="33">
        <v>30</v>
      </c>
      <c r="O32" s="33" t="s">
        <v>57</v>
      </c>
      <c r="P32" s="38" t="s">
        <v>68</v>
      </c>
      <c r="Q32" s="39" t="s">
        <v>59</v>
      </c>
      <c r="R32" s="39" t="s">
        <v>60</v>
      </c>
      <c r="S32" s="40">
        <v>7491</v>
      </c>
      <c r="T32" s="40">
        <v>0</v>
      </c>
      <c r="U32" s="40">
        <f t="shared" si="0"/>
        <v>7491</v>
      </c>
      <c r="V32" s="40">
        <v>682</v>
      </c>
      <c r="W32" s="40">
        <v>412</v>
      </c>
      <c r="X32" s="40">
        <v>292</v>
      </c>
      <c r="Y32" s="40">
        <f>U32/30*25%*52</f>
        <v>3246.1</v>
      </c>
      <c r="Z32" s="40">
        <f t="shared" si="14"/>
        <v>1167.45</v>
      </c>
      <c r="AA32" s="40">
        <f t="shared" si="1"/>
        <v>233.48999999999998</v>
      </c>
      <c r="AB32" s="41">
        <v>547.69000000000005</v>
      </c>
      <c r="AC32" s="40">
        <f t="shared" si="2"/>
        <v>155.66</v>
      </c>
      <c r="AD32" s="40">
        <f t="shared" si="3"/>
        <v>3745.5</v>
      </c>
      <c r="AE32" s="42">
        <v>375</v>
      </c>
      <c r="AF32" s="42">
        <v>0</v>
      </c>
      <c r="AG32" s="40">
        <f t="shared" si="15"/>
        <v>56.25</v>
      </c>
      <c r="AH32" s="40">
        <f t="shared" si="4"/>
        <v>11.25</v>
      </c>
      <c r="AI32" s="40">
        <f t="shared" si="5"/>
        <v>46.698</v>
      </c>
      <c r="AJ32" s="40">
        <f t="shared" si="6"/>
        <v>7.5</v>
      </c>
      <c r="AK32" s="42">
        <f t="shared" si="7"/>
        <v>21.907600000000002</v>
      </c>
      <c r="AL32" s="42">
        <f t="shared" si="7"/>
        <v>6.2263999999999999</v>
      </c>
      <c r="AM32" s="42">
        <f>U32*6.58%</f>
        <v>492.90779999999995</v>
      </c>
      <c r="AN32" s="42">
        <f t="shared" si="8"/>
        <v>62.5</v>
      </c>
      <c r="AO32" s="42">
        <f t="shared" si="9"/>
        <v>187.5</v>
      </c>
      <c r="AP32" s="42">
        <f t="shared" si="10"/>
        <v>625</v>
      </c>
      <c r="AQ32" s="42">
        <f t="shared" si="11"/>
        <v>7665.8918000000003</v>
      </c>
      <c r="AR32" s="40">
        <f t="shared" si="12"/>
        <v>1248.5</v>
      </c>
      <c r="AS32" s="40">
        <f t="shared" si="13"/>
        <v>12485</v>
      </c>
      <c r="AT32" s="40">
        <v>7200</v>
      </c>
      <c r="AU32" s="40">
        <f t="shared" si="16"/>
        <v>167366.4718</v>
      </c>
      <c r="AV32" s="54"/>
      <c r="AW32" s="55"/>
      <c r="AX32" s="55"/>
      <c r="AY32" s="55"/>
      <c r="AZ32" s="55"/>
      <c r="BA32" s="30"/>
      <c r="BB32" s="30"/>
      <c r="BC32" s="30"/>
      <c r="BD32" s="30"/>
    </row>
    <row r="33" spans="2:56" ht="18" x14ac:dyDescent="0.25">
      <c r="B33" s="32">
        <v>29</v>
      </c>
      <c r="C33" s="33">
        <v>10</v>
      </c>
      <c r="D33" s="33">
        <v>1</v>
      </c>
      <c r="E33" s="32">
        <v>20</v>
      </c>
      <c r="F33" s="32">
        <v>29</v>
      </c>
      <c r="G33" s="32">
        <v>270</v>
      </c>
      <c r="H33" s="32"/>
      <c r="I33" s="34" t="s">
        <v>135</v>
      </c>
      <c r="J33" s="35" t="s">
        <v>136</v>
      </c>
      <c r="K33" s="37">
        <f>2014-2000</f>
        <v>14</v>
      </c>
      <c r="L33" s="33" t="s">
        <v>63</v>
      </c>
      <c r="M33" s="33">
        <v>9</v>
      </c>
      <c r="N33" s="33">
        <v>30</v>
      </c>
      <c r="O33" s="33" t="s">
        <v>57</v>
      </c>
      <c r="P33" s="38" t="s">
        <v>137</v>
      </c>
      <c r="Q33" s="39" t="s">
        <v>74</v>
      </c>
      <c r="R33" s="39" t="s">
        <v>74</v>
      </c>
      <c r="S33" s="40">
        <v>9291.2999999999993</v>
      </c>
      <c r="T33" s="40">
        <v>0</v>
      </c>
      <c r="U33" s="40">
        <f t="shared" si="0"/>
        <v>9291.2999999999993</v>
      </c>
      <c r="V33" s="40">
        <v>799</v>
      </c>
      <c r="W33" s="40">
        <v>547</v>
      </c>
      <c r="X33" s="40">
        <v>365.2</v>
      </c>
      <c r="Y33" s="40">
        <v>0</v>
      </c>
      <c r="Z33" s="40">
        <f t="shared" si="14"/>
        <v>1448.4749999999999</v>
      </c>
      <c r="AA33" s="40">
        <f t="shared" si="1"/>
        <v>289.69499999999999</v>
      </c>
      <c r="AB33" s="41">
        <v>547.69000000000005</v>
      </c>
      <c r="AC33" s="40">
        <f t="shared" si="2"/>
        <v>193.13</v>
      </c>
      <c r="AD33" s="40">
        <f t="shared" si="3"/>
        <v>4645.6499999999996</v>
      </c>
      <c r="AE33" s="42">
        <v>338</v>
      </c>
      <c r="AF33" s="42">
        <v>70.099999999999994</v>
      </c>
      <c r="AG33" s="40">
        <f t="shared" si="15"/>
        <v>61.215000000000003</v>
      </c>
      <c r="AH33" s="40">
        <f t="shared" si="4"/>
        <v>12.243</v>
      </c>
      <c r="AI33" s="40">
        <f t="shared" si="5"/>
        <v>57.939</v>
      </c>
      <c r="AJ33" s="40">
        <f t="shared" si="6"/>
        <v>8.1620000000000008</v>
      </c>
      <c r="AK33" s="42">
        <f t="shared" si="7"/>
        <v>21.907600000000002</v>
      </c>
      <c r="AL33" s="42">
        <f t="shared" si="7"/>
        <v>7.7252000000000001</v>
      </c>
      <c r="AM33" s="42">
        <v>0</v>
      </c>
      <c r="AN33" s="42">
        <f t="shared" si="8"/>
        <v>56.333333333333336</v>
      </c>
      <c r="AO33" s="42">
        <f t="shared" si="9"/>
        <v>169</v>
      </c>
      <c r="AP33" s="42">
        <f t="shared" si="10"/>
        <v>563.33333333333337</v>
      </c>
      <c r="AQ33" s="42">
        <f t="shared" si="11"/>
        <v>7716.1682666666684</v>
      </c>
      <c r="AR33" s="40">
        <f t="shared" si="12"/>
        <v>1548.55</v>
      </c>
      <c r="AS33" s="40">
        <f t="shared" si="13"/>
        <v>15485.499999999998</v>
      </c>
      <c r="AT33" s="40">
        <v>7200</v>
      </c>
      <c r="AU33" s="40">
        <f t="shared" si="16"/>
        <v>198373.74826666666</v>
      </c>
      <c r="AV33" s="54"/>
      <c r="AW33" s="46"/>
      <c r="AX33" s="46"/>
      <c r="AY33" s="29"/>
      <c r="AZ33" s="29"/>
      <c r="BA33" s="30"/>
      <c r="BB33" s="30"/>
      <c r="BC33" s="30"/>
      <c r="BD33" s="30"/>
    </row>
    <row r="34" spans="2:56" ht="18" x14ac:dyDescent="0.25">
      <c r="B34" s="32">
        <v>30</v>
      </c>
      <c r="C34" s="33">
        <v>10</v>
      </c>
      <c r="D34" s="33">
        <v>1</v>
      </c>
      <c r="E34" s="32">
        <v>20</v>
      </c>
      <c r="F34" s="32">
        <v>30</v>
      </c>
      <c r="G34" s="32">
        <v>270</v>
      </c>
      <c r="H34" s="32"/>
      <c r="I34" s="34" t="s">
        <v>138</v>
      </c>
      <c r="J34" s="35" t="s">
        <v>139</v>
      </c>
      <c r="K34" s="37">
        <f>2014-1991</f>
        <v>23</v>
      </c>
      <c r="L34" s="33" t="s">
        <v>56</v>
      </c>
      <c r="M34" s="33">
        <v>9</v>
      </c>
      <c r="N34" s="33">
        <v>40</v>
      </c>
      <c r="O34" s="33" t="s">
        <v>57</v>
      </c>
      <c r="P34" s="38" t="s">
        <v>140</v>
      </c>
      <c r="Q34" s="39" t="s">
        <v>74</v>
      </c>
      <c r="R34" s="39" t="s">
        <v>74</v>
      </c>
      <c r="S34" s="40">
        <v>11953.5</v>
      </c>
      <c r="T34" s="40">
        <v>0</v>
      </c>
      <c r="U34" s="40">
        <f t="shared" si="0"/>
        <v>11953.5</v>
      </c>
      <c r="V34" s="40">
        <v>1037</v>
      </c>
      <c r="W34" s="40">
        <v>711</v>
      </c>
      <c r="X34" s="40">
        <v>438</v>
      </c>
      <c r="Y34" s="40">
        <v>0</v>
      </c>
      <c r="Z34" s="40">
        <f t="shared" si="14"/>
        <v>1858.7249999999999</v>
      </c>
      <c r="AA34" s="40">
        <f t="shared" si="1"/>
        <v>371.745</v>
      </c>
      <c r="AB34" s="41">
        <v>678.41</v>
      </c>
      <c r="AC34" s="40">
        <f t="shared" si="2"/>
        <v>247.83</v>
      </c>
      <c r="AD34" s="40">
        <f t="shared" si="3"/>
        <v>5976.75</v>
      </c>
      <c r="AE34" s="42">
        <v>450</v>
      </c>
      <c r="AF34" s="42">
        <v>0</v>
      </c>
      <c r="AG34" s="40">
        <f t="shared" si="15"/>
        <v>67.5</v>
      </c>
      <c r="AH34" s="40">
        <f t="shared" si="4"/>
        <v>13.5</v>
      </c>
      <c r="AI34" s="40">
        <f t="shared" si="5"/>
        <v>74.349000000000004</v>
      </c>
      <c r="AJ34" s="40">
        <f t="shared" si="6"/>
        <v>9</v>
      </c>
      <c r="AK34" s="42">
        <f t="shared" si="7"/>
        <v>27.136399999999998</v>
      </c>
      <c r="AL34" s="42">
        <f t="shared" si="7"/>
        <v>9.9132000000000016</v>
      </c>
      <c r="AM34" s="42">
        <v>0</v>
      </c>
      <c r="AN34" s="42">
        <f t="shared" si="8"/>
        <v>75</v>
      </c>
      <c r="AO34" s="42">
        <f t="shared" si="9"/>
        <v>225</v>
      </c>
      <c r="AP34" s="42">
        <f t="shared" si="10"/>
        <v>750</v>
      </c>
      <c r="AQ34" s="42">
        <f t="shared" si="11"/>
        <v>8866.7831999999999</v>
      </c>
      <c r="AR34" s="40">
        <f t="shared" si="12"/>
        <v>1992.25</v>
      </c>
      <c r="AS34" s="40">
        <f t="shared" si="13"/>
        <v>19922.5</v>
      </c>
      <c r="AT34" s="40">
        <v>7200</v>
      </c>
      <c r="AU34" s="40">
        <f t="shared" si="16"/>
        <v>251512.80320000002</v>
      </c>
      <c r="AV34" s="49"/>
      <c r="AW34" s="29"/>
      <c r="AX34" s="29"/>
      <c r="AY34" s="29"/>
      <c r="AZ34" s="29"/>
      <c r="BA34" s="30"/>
      <c r="BB34" s="30"/>
      <c r="BC34" s="30"/>
      <c r="BD34" s="30"/>
    </row>
    <row r="35" spans="2:56" ht="18" x14ac:dyDescent="0.25">
      <c r="B35" s="32">
        <v>31</v>
      </c>
      <c r="C35" s="33">
        <v>10</v>
      </c>
      <c r="D35" s="33">
        <v>1</v>
      </c>
      <c r="E35" s="32">
        <v>20</v>
      </c>
      <c r="F35" s="32">
        <v>31</v>
      </c>
      <c r="G35" s="32">
        <v>270</v>
      </c>
      <c r="H35" s="32"/>
      <c r="I35" s="34" t="s">
        <v>141</v>
      </c>
      <c r="J35" s="35" t="s">
        <v>142</v>
      </c>
      <c r="K35" s="37">
        <f>2014-2005</f>
        <v>9</v>
      </c>
      <c r="L35" s="33" t="s">
        <v>56</v>
      </c>
      <c r="M35" s="33">
        <v>15</v>
      </c>
      <c r="N35" s="33">
        <v>40</v>
      </c>
      <c r="O35" s="33" t="s">
        <v>143</v>
      </c>
      <c r="P35" s="38" t="s">
        <v>144</v>
      </c>
      <c r="Q35" s="39" t="s">
        <v>145</v>
      </c>
      <c r="R35" s="39" t="s">
        <v>74</v>
      </c>
      <c r="S35" s="40">
        <v>15425.1</v>
      </c>
      <c r="T35" s="40">
        <v>0</v>
      </c>
      <c r="U35" s="40">
        <f t="shared" si="0"/>
        <v>15425.1</v>
      </c>
      <c r="V35" s="40">
        <v>1206</v>
      </c>
      <c r="W35" s="40">
        <v>755</v>
      </c>
      <c r="X35" s="40">
        <v>292.16000000000003</v>
      </c>
      <c r="Y35" s="40">
        <v>0</v>
      </c>
      <c r="Z35" s="40">
        <f t="shared" si="14"/>
        <v>2357.5889999999999</v>
      </c>
      <c r="AA35" s="40">
        <f t="shared" si="1"/>
        <v>471.51779999999997</v>
      </c>
      <c r="AB35" s="41">
        <v>766.18</v>
      </c>
      <c r="AC35" s="40">
        <f t="shared" si="2"/>
        <v>314.34520000000003</v>
      </c>
      <c r="AD35" s="40">
        <f t="shared" si="3"/>
        <v>7712.5499999999993</v>
      </c>
      <c r="AE35" s="42">
        <v>0</v>
      </c>
      <c r="AF35" s="42">
        <v>70.099999999999994</v>
      </c>
      <c r="AG35" s="40">
        <f t="shared" si="15"/>
        <v>10.514999999999999</v>
      </c>
      <c r="AH35" s="40">
        <f t="shared" si="4"/>
        <v>2.1029999999999998</v>
      </c>
      <c r="AI35" s="40">
        <f t="shared" si="5"/>
        <v>94.303560000000004</v>
      </c>
      <c r="AJ35" s="40">
        <f t="shared" si="6"/>
        <v>1.4019999999999999</v>
      </c>
      <c r="AK35" s="42">
        <f t="shared" si="7"/>
        <v>30.647199999999998</v>
      </c>
      <c r="AL35" s="42">
        <f t="shared" si="7"/>
        <v>12.573808000000001</v>
      </c>
      <c r="AM35" s="42">
        <v>0</v>
      </c>
      <c r="AN35" s="42">
        <f t="shared" si="8"/>
        <v>0</v>
      </c>
      <c r="AO35" s="42">
        <f t="shared" si="9"/>
        <v>0</v>
      </c>
      <c r="AP35" s="42">
        <f t="shared" si="10"/>
        <v>0</v>
      </c>
      <c r="AQ35" s="42">
        <f t="shared" si="11"/>
        <v>2659.7348160000001</v>
      </c>
      <c r="AR35" s="40">
        <f t="shared" si="12"/>
        <v>2570.85</v>
      </c>
      <c r="AS35" s="40">
        <f t="shared" si="13"/>
        <v>25708.499999999996</v>
      </c>
      <c r="AT35" s="40">
        <v>7200</v>
      </c>
      <c r="AU35" s="40">
        <f t="shared" si="16"/>
        <v>304906.33881599997</v>
      </c>
      <c r="AV35" s="51"/>
      <c r="AW35" s="29"/>
      <c r="AX35" s="29"/>
      <c r="AY35" s="46"/>
      <c r="AZ35" s="46"/>
      <c r="BA35" s="30"/>
      <c r="BB35" s="30"/>
      <c r="BC35" s="30"/>
      <c r="BD35" s="30"/>
    </row>
    <row r="36" spans="2:56" s="10" customFormat="1" ht="18" x14ac:dyDescent="0.25">
      <c r="B36" s="32">
        <v>32</v>
      </c>
      <c r="C36" s="33">
        <v>10</v>
      </c>
      <c r="D36" s="33">
        <v>1</v>
      </c>
      <c r="E36" s="32">
        <v>20</v>
      </c>
      <c r="F36" s="32">
        <v>32</v>
      </c>
      <c r="G36" s="32">
        <v>270</v>
      </c>
      <c r="H36" s="32"/>
      <c r="I36" s="34" t="s">
        <v>146</v>
      </c>
      <c r="J36" s="35" t="s">
        <v>147</v>
      </c>
      <c r="K36" s="37">
        <f>2014-1998</f>
        <v>16</v>
      </c>
      <c r="L36" s="33" t="s">
        <v>63</v>
      </c>
      <c r="M36" s="33">
        <v>4</v>
      </c>
      <c r="N36" s="33">
        <v>40</v>
      </c>
      <c r="O36" s="33" t="s">
        <v>57</v>
      </c>
      <c r="P36" s="38" t="s">
        <v>68</v>
      </c>
      <c r="Q36" s="39" t="s">
        <v>59</v>
      </c>
      <c r="R36" s="39" t="s">
        <v>60</v>
      </c>
      <c r="S36" s="40">
        <v>9538</v>
      </c>
      <c r="T36" s="40">
        <v>0</v>
      </c>
      <c r="U36" s="40">
        <f t="shared" si="0"/>
        <v>9538</v>
      </c>
      <c r="V36" s="40">
        <v>882</v>
      </c>
      <c r="W36" s="40">
        <v>532</v>
      </c>
      <c r="X36" s="40">
        <v>365.2</v>
      </c>
      <c r="Y36" s="40">
        <v>0</v>
      </c>
      <c r="Z36" s="40">
        <f t="shared" si="14"/>
        <v>1485.48</v>
      </c>
      <c r="AA36" s="40">
        <f t="shared" si="1"/>
        <v>297.096</v>
      </c>
      <c r="AB36" s="41">
        <v>608.48</v>
      </c>
      <c r="AC36" s="40">
        <f t="shared" si="2"/>
        <v>198.06400000000002</v>
      </c>
      <c r="AD36" s="40">
        <f t="shared" si="3"/>
        <v>4769</v>
      </c>
      <c r="AE36" s="42">
        <v>375</v>
      </c>
      <c r="AF36" s="42">
        <v>0</v>
      </c>
      <c r="AG36" s="40">
        <f t="shared" si="15"/>
        <v>56.25</v>
      </c>
      <c r="AH36" s="40">
        <f t="shared" si="4"/>
        <v>11.25</v>
      </c>
      <c r="AI36" s="40">
        <f t="shared" si="5"/>
        <v>59.419200000000004</v>
      </c>
      <c r="AJ36" s="40">
        <f t="shared" si="6"/>
        <v>7.5</v>
      </c>
      <c r="AK36" s="42">
        <f t="shared" si="7"/>
        <v>24.339200000000002</v>
      </c>
      <c r="AL36" s="42">
        <f t="shared" si="7"/>
        <v>7.9225600000000007</v>
      </c>
      <c r="AM36" s="42">
        <v>0</v>
      </c>
      <c r="AN36" s="42">
        <f t="shared" si="8"/>
        <v>62.5</v>
      </c>
      <c r="AO36" s="42">
        <f t="shared" si="9"/>
        <v>187.5</v>
      </c>
      <c r="AP36" s="42">
        <f t="shared" si="10"/>
        <v>625</v>
      </c>
      <c r="AQ36" s="42">
        <f t="shared" si="11"/>
        <v>7375.171519999999</v>
      </c>
      <c r="AR36" s="40">
        <f t="shared" si="12"/>
        <v>1589.6666666666667</v>
      </c>
      <c r="AS36" s="40">
        <f t="shared" si="13"/>
        <v>15896.666666666666</v>
      </c>
      <c r="AT36" s="40">
        <v>7200</v>
      </c>
      <c r="AU36" s="40">
        <f t="shared" si="16"/>
        <v>203706.34485333331</v>
      </c>
      <c r="AV36" s="51"/>
      <c r="AW36" s="29"/>
      <c r="AX36" s="29"/>
      <c r="AY36" s="29"/>
      <c r="AZ36" s="29"/>
      <c r="BA36" s="30"/>
      <c r="BB36" s="30"/>
      <c r="BC36" s="30"/>
      <c r="BD36" s="30"/>
    </row>
    <row r="37" spans="2:56" ht="18" x14ac:dyDescent="0.25">
      <c r="B37" s="32">
        <v>33</v>
      </c>
      <c r="C37" s="33">
        <v>10</v>
      </c>
      <c r="D37" s="33">
        <v>1</v>
      </c>
      <c r="E37" s="32">
        <v>20</v>
      </c>
      <c r="F37" s="32">
        <v>33</v>
      </c>
      <c r="G37" s="32">
        <v>270</v>
      </c>
      <c r="H37" s="32"/>
      <c r="I37" s="34" t="s">
        <v>148</v>
      </c>
      <c r="J37" s="35" t="s">
        <v>149</v>
      </c>
      <c r="K37" s="37">
        <f>2014-1994</f>
        <v>20</v>
      </c>
      <c r="L37" s="33" t="s">
        <v>56</v>
      </c>
      <c r="M37" s="33">
        <v>8</v>
      </c>
      <c r="N37" s="33">
        <v>40</v>
      </c>
      <c r="O37" s="33" t="s">
        <v>57</v>
      </c>
      <c r="P37" s="38" t="s">
        <v>150</v>
      </c>
      <c r="Q37" s="39" t="s">
        <v>151</v>
      </c>
      <c r="R37" s="39" t="s">
        <v>74</v>
      </c>
      <c r="S37" s="40">
        <v>11272.5</v>
      </c>
      <c r="T37" s="40">
        <v>0</v>
      </c>
      <c r="U37" s="40">
        <f t="shared" si="0"/>
        <v>11272.5</v>
      </c>
      <c r="V37" s="40">
        <v>1021</v>
      </c>
      <c r="W37" s="40">
        <v>695</v>
      </c>
      <c r="X37" s="40">
        <v>438</v>
      </c>
      <c r="Y37" s="40">
        <v>0</v>
      </c>
      <c r="Z37" s="40">
        <f t="shared" si="14"/>
        <v>1756.575</v>
      </c>
      <c r="AA37" s="40">
        <f t="shared" si="1"/>
        <v>351.315</v>
      </c>
      <c r="AB37" s="41">
        <v>659.41</v>
      </c>
      <c r="AC37" s="40">
        <f t="shared" si="2"/>
        <v>234.21</v>
      </c>
      <c r="AD37" s="40">
        <f t="shared" si="3"/>
        <v>5636.25</v>
      </c>
      <c r="AE37" s="42">
        <v>450</v>
      </c>
      <c r="AF37" s="42">
        <v>70.099999999999994</v>
      </c>
      <c r="AG37" s="40">
        <f t="shared" si="15"/>
        <v>78.015000000000001</v>
      </c>
      <c r="AH37" s="40">
        <f t="shared" si="4"/>
        <v>15.603</v>
      </c>
      <c r="AI37" s="40">
        <f t="shared" si="5"/>
        <v>70.263000000000005</v>
      </c>
      <c r="AJ37" s="40">
        <f t="shared" si="6"/>
        <v>10.402000000000001</v>
      </c>
      <c r="AK37" s="42">
        <f t="shared" si="7"/>
        <v>26.3764</v>
      </c>
      <c r="AL37" s="42">
        <f t="shared" si="7"/>
        <v>9.3684000000000012</v>
      </c>
      <c r="AM37" s="42">
        <v>0</v>
      </c>
      <c r="AN37" s="42">
        <f t="shared" si="8"/>
        <v>75</v>
      </c>
      <c r="AO37" s="42">
        <f t="shared" si="9"/>
        <v>225</v>
      </c>
      <c r="AP37" s="42">
        <f t="shared" si="10"/>
        <v>750</v>
      </c>
      <c r="AQ37" s="42">
        <f t="shared" si="11"/>
        <v>9811.5335999999988</v>
      </c>
      <c r="AR37" s="40">
        <f t="shared" si="12"/>
        <v>1878.75</v>
      </c>
      <c r="AS37" s="40">
        <f t="shared" si="13"/>
        <v>18787.5</v>
      </c>
      <c r="AT37" s="40">
        <v>7200</v>
      </c>
      <c r="AU37" s="40">
        <f t="shared" si="16"/>
        <v>240450.15360000002</v>
      </c>
      <c r="AV37" s="54"/>
      <c r="AW37" s="29"/>
      <c r="AX37" s="29"/>
      <c r="AY37" s="29"/>
      <c r="AZ37" s="29"/>
      <c r="BA37" s="30"/>
      <c r="BB37" s="30"/>
      <c r="BC37" s="30"/>
      <c r="BD37" s="30"/>
    </row>
    <row r="38" spans="2:56" ht="18" x14ac:dyDescent="0.25">
      <c r="B38" s="32">
        <v>34</v>
      </c>
      <c r="C38" s="33">
        <v>10</v>
      </c>
      <c r="D38" s="33">
        <v>1</v>
      </c>
      <c r="E38" s="32">
        <v>20</v>
      </c>
      <c r="F38" s="32">
        <v>34</v>
      </c>
      <c r="G38" s="32">
        <v>270</v>
      </c>
      <c r="H38" s="32"/>
      <c r="I38" s="34" t="s">
        <v>152</v>
      </c>
      <c r="J38" s="35" t="s">
        <v>153</v>
      </c>
      <c r="K38" s="37">
        <f>2014-1994</f>
        <v>20</v>
      </c>
      <c r="L38" s="33" t="s">
        <v>56</v>
      </c>
      <c r="M38" s="33">
        <v>13</v>
      </c>
      <c r="N38" s="33">
        <v>30</v>
      </c>
      <c r="O38" s="33" t="s">
        <v>57</v>
      </c>
      <c r="P38" s="38" t="s">
        <v>130</v>
      </c>
      <c r="Q38" s="39" t="s">
        <v>125</v>
      </c>
      <c r="R38" s="39" t="s">
        <v>74</v>
      </c>
      <c r="S38" s="40">
        <v>10161</v>
      </c>
      <c r="T38" s="40">
        <v>0</v>
      </c>
      <c r="U38" s="40">
        <f t="shared" si="0"/>
        <v>10161</v>
      </c>
      <c r="V38" s="40">
        <f>846+80</f>
        <v>926</v>
      </c>
      <c r="W38" s="40">
        <f>528+50</f>
        <v>578</v>
      </c>
      <c r="X38" s="40">
        <v>438</v>
      </c>
      <c r="Y38" s="40">
        <v>0</v>
      </c>
      <c r="Z38" s="40">
        <f t="shared" si="14"/>
        <v>1589.85</v>
      </c>
      <c r="AA38" s="40">
        <f t="shared" si="1"/>
        <v>317.96999999999997</v>
      </c>
      <c r="AB38" s="41">
        <v>626.70000000000005</v>
      </c>
      <c r="AC38" s="40">
        <f t="shared" si="2"/>
        <v>211.98000000000002</v>
      </c>
      <c r="AD38" s="40">
        <f t="shared" si="3"/>
        <v>5080.5</v>
      </c>
      <c r="AE38" s="42">
        <v>300</v>
      </c>
      <c r="AF38" s="42">
        <v>70.099999999999994</v>
      </c>
      <c r="AG38" s="40">
        <f t="shared" si="15"/>
        <v>55.515000000000001</v>
      </c>
      <c r="AH38" s="40">
        <f t="shared" si="4"/>
        <v>11.103</v>
      </c>
      <c r="AI38" s="40">
        <f t="shared" si="5"/>
        <v>63.594000000000001</v>
      </c>
      <c r="AJ38" s="40">
        <f t="shared" si="6"/>
        <v>7.402000000000001</v>
      </c>
      <c r="AK38" s="42">
        <f t="shared" si="7"/>
        <v>25.068000000000001</v>
      </c>
      <c r="AL38" s="42">
        <f t="shared" si="7"/>
        <v>8.4792000000000005</v>
      </c>
      <c r="AM38" s="42">
        <v>0</v>
      </c>
      <c r="AN38" s="42">
        <f t="shared" si="8"/>
        <v>50</v>
      </c>
      <c r="AO38" s="42">
        <f t="shared" si="9"/>
        <v>150</v>
      </c>
      <c r="AP38" s="42">
        <f t="shared" si="10"/>
        <v>500</v>
      </c>
      <c r="AQ38" s="42">
        <f t="shared" si="11"/>
        <v>7195.1344000000008</v>
      </c>
      <c r="AR38" s="40">
        <f t="shared" si="12"/>
        <v>1693.5</v>
      </c>
      <c r="AS38" s="40">
        <f t="shared" si="13"/>
        <v>16935</v>
      </c>
      <c r="AT38" s="40">
        <v>7200</v>
      </c>
      <c r="AU38" s="40">
        <f t="shared" si="16"/>
        <v>216298.13440000001</v>
      </c>
      <c r="AV38" s="53"/>
      <c r="AW38" s="29"/>
      <c r="AX38" s="29"/>
      <c r="AY38" s="29"/>
      <c r="AZ38" s="29"/>
      <c r="BA38" s="30"/>
      <c r="BB38" s="30"/>
      <c r="BC38" s="30"/>
      <c r="BD38" s="30"/>
    </row>
    <row r="39" spans="2:56" ht="18" x14ac:dyDescent="0.25">
      <c r="B39" s="32">
        <v>35</v>
      </c>
      <c r="C39" s="33">
        <v>10</v>
      </c>
      <c r="D39" s="33">
        <v>1</v>
      </c>
      <c r="E39" s="32">
        <v>20</v>
      </c>
      <c r="F39" s="32">
        <v>35</v>
      </c>
      <c r="G39" s="32">
        <v>270</v>
      </c>
      <c r="H39" s="32"/>
      <c r="I39" s="34" t="s">
        <v>154</v>
      </c>
      <c r="J39" s="35" t="s">
        <v>155</v>
      </c>
      <c r="K39" s="37">
        <f>2014-2002</f>
        <v>12</v>
      </c>
      <c r="L39" s="33" t="s">
        <v>56</v>
      </c>
      <c r="M39" s="33">
        <v>3</v>
      </c>
      <c r="N39" s="33">
        <v>30</v>
      </c>
      <c r="O39" s="33" t="s">
        <v>57</v>
      </c>
      <c r="P39" s="38" t="s">
        <v>64</v>
      </c>
      <c r="Q39" s="39" t="s">
        <v>65</v>
      </c>
      <c r="R39" s="39" t="s">
        <v>60</v>
      </c>
      <c r="S39" s="40">
        <v>7227.3</v>
      </c>
      <c r="T39" s="40">
        <v>0</v>
      </c>
      <c r="U39" s="40">
        <f t="shared" si="0"/>
        <v>7227.3</v>
      </c>
      <c r="V39" s="40">
        <v>672</v>
      </c>
      <c r="W39" s="40">
        <v>402</v>
      </c>
      <c r="X39" s="40">
        <v>292</v>
      </c>
      <c r="Y39" s="40">
        <v>0</v>
      </c>
      <c r="Z39" s="40">
        <f t="shared" si="14"/>
        <v>1127.895</v>
      </c>
      <c r="AA39" s="40">
        <f t="shared" si="1"/>
        <v>225.57900000000001</v>
      </c>
      <c r="AB39" s="41">
        <v>540.25</v>
      </c>
      <c r="AC39" s="40">
        <f t="shared" si="2"/>
        <v>150.386</v>
      </c>
      <c r="AD39" s="40">
        <f t="shared" si="3"/>
        <v>3613.65</v>
      </c>
      <c r="AE39" s="42">
        <v>375</v>
      </c>
      <c r="AF39" s="42">
        <v>0</v>
      </c>
      <c r="AG39" s="40">
        <f t="shared" si="15"/>
        <v>56.25</v>
      </c>
      <c r="AH39" s="40">
        <f t="shared" si="4"/>
        <v>11.25</v>
      </c>
      <c r="AI39" s="40">
        <f t="shared" si="5"/>
        <v>45.1158</v>
      </c>
      <c r="AJ39" s="40">
        <f t="shared" si="6"/>
        <v>7.5</v>
      </c>
      <c r="AK39" s="42">
        <f t="shared" si="7"/>
        <v>21.61</v>
      </c>
      <c r="AL39" s="42">
        <f t="shared" si="7"/>
        <v>6.0154399999999999</v>
      </c>
      <c r="AM39" s="42">
        <v>0</v>
      </c>
      <c r="AN39" s="42">
        <f t="shared" si="8"/>
        <v>62.5</v>
      </c>
      <c r="AO39" s="42">
        <f t="shared" si="9"/>
        <v>187.5</v>
      </c>
      <c r="AP39" s="42">
        <f t="shared" si="10"/>
        <v>625</v>
      </c>
      <c r="AQ39" s="42">
        <f t="shared" si="11"/>
        <v>7147.8948799999998</v>
      </c>
      <c r="AR39" s="40">
        <f t="shared" si="12"/>
        <v>1204.55</v>
      </c>
      <c r="AS39" s="40">
        <f t="shared" si="13"/>
        <v>12045.5</v>
      </c>
      <c r="AT39" s="40">
        <v>7200</v>
      </c>
      <c r="AU39" s="40">
        <f t="shared" si="16"/>
        <v>158860.51488</v>
      </c>
      <c r="AV39" s="29"/>
      <c r="AW39" s="29"/>
      <c r="AX39" s="29"/>
      <c r="AY39" s="29"/>
      <c r="AZ39" s="29"/>
      <c r="BA39" s="44"/>
      <c r="BB39" s="44"/>
      <c r="BC39" s="44"/>
      <c r="BD39" s="44"/>
    </row>
    <row r="40" spans="2:56" ht="18" x14ac:dyDescent="0.25">
      <c r="B40" s="32">
        <v>36</v>
      </c>
      <c r="C40" s="33">
        <v>10</v>
      </c>
      <c r="D40" s="33">
        <v>1</v>
      </c>
      <c r="E40" s="32">
        <v>20</v>
      </c>
      <c r="F40" s="32">
        <v>36</v>
      </c>
      <c r="G40" s="32">
        <v>270</v>
      </c>
      <c r="H40" s="32"/>
      <c r="I40" s="34" t="s">
        <v>156</v>
      </c>
      <c r="J40" s="35" t="s">
        <v>157</v>
      </c>
      <c r="K40" s="37">
        <f>2014-1999</f>
        <v>15</v>
      </c>
      <c r="L40" s="33" t="s">
        <v>63</v>
      </c>
      <c r="M40" s="33">
        <v>6</v>
      </c>
      <c r="N40" s="33">
        <v>30</v>
      </c>
      <c r="O40" s="33" t="s">
        <v>57</v>
      </c>
      <c r="P40" s="38" t="s">
        <v>58</v>
      </c>
      <c r="Q40" s="39" t="s">
        <v>158</v>
      </c>
      <c r="R40" s="39" t="s">
        <v>60</v>
      </c>
      <c r="S40" s="40">
        <v>8051.1</v>
      </c>
      <c r="T40" s="40">
        <v>0</v>
      </c>
      <c r="U40" s="40">
        <f t="shared" si="0"/>
        <v>8051.1</v>
      </c>
      <c r="V40" s="40">
        <v>767</v>
      </c>
      <c r="W40" s="40">
        <v>513</v>
      </c>
      <c r="X40" s="40">
        <v>365.2</v>
      </c>
      <c r="Y40" s="40">
        <v>0</v>
      </c>
      <c r="Z40" s="40">
        <f t="shared" si="14"/>
        <v>1262.4450000000002</v>
      </c>
      <c r="AA40" s="40">
        <f t="shared" si="1"/>
        <v>252.48900000000003</v>
      </c>
      <c r="AB40" s="41">
        <v>565.23</v>
      </c>
      <c r="AC40" s="40">
        <f t="shared" si="2"/>
        <v>168.32600000000002</v>
      </c>
      <c r="AD40" s="40">
        <f t="shared" si="3"/>
        <v>4025.55</v>
      </c>
      <c r="AE40" s="42">
        <v>338</v>
      </c>
      <c r="AF40" s="42">
        <v>70.099999999999994</v>
      </c>
      <c r="AG40" s="40">
        <f t="shared" si="15"/>
        <v>61.215000000000003</v>
      </c>
      <c r="AH40" s="40">
        <f t="shared" si="4"/>
        <v>12.243</v>
      </c>
      <c r="AI40" s="40">
        <f t="shared" si="5"/>
        <v>50.497800000000005</v>
      </c>
      <c r="AJ40" s="40">
        <f t="shared" si="6"/>
        <v>8.1620000000000008</v>
      </c>
      <c r="AK40" s="42">
        <f t="shared" si="7"/>
        <v>22.609200000000001</v>
      </c>
      <c r="AL40" s="42">
        <f t="shared" si="7"/>
        <v>6.7330400000000008</v>
      </c>
      <c r="AM40" s="42">
        <v>0</v>
      </c>
      <c r="AN40" s="42">
        <f t="shared" si="8"/>
        <v>56.333333333333336</v>
      </c>
      <c r="AO40" s="42">
        <f t="shared" si="9"/>
        <v>169</v>
      </c>
      <c r="AP40" s="42">
        <f t="shared" si="10"/>
        <v>563.33333333333337</v>
      </c>
      <c r="AQ40" s="42">
        <f t="shared" si="11"/>
        <v>7623.3871466666678</v>
      </c>
      <c r="AR40" s="40">
        <f t="shared" si="12"/>
        <v>1341.85</v>
      </c>
      <c r="AS40" s="40">
        <f t="shared" si="13"/>
        <v>13418.5</v>
      </c>
      <c r="AT40" s="40">
        <v>7200</v>
      </c>
      <c r="AU40" s="40">
        <f t="shared" si="16"/>
        <v>176946.76714666668</v>
      </c>
      <c r="AV40" s="29"/>
      <c r="AW40" s="29"/>
      <c r="AX40" s="29"/>
      <c r="AY40" s="29"/>
      <c r="AZ40" s="29"/>
      <c r="BA40" s="44"/>
      <c r="BB40" s="44"/>
      <c r="BC40" s="44"/>
      <c r="BD40" s="44"/>
    </row>
    <row r="41" spans="2:56" ht="18" x14ac:dyDescent="0.25">
      <c r="B41" s="32">
        <v>37</v>
      </c>
      <c r="C41" s="33">
        <v>10</v>
      </c>
      <c r="D41" s="33">
        <v>1</v>
      </c>
      <c r="E41" s="32">
        <v>20</v>
      </c>
      <c r="F41" s="32">
        <v>37</v>
      </c>
      <c r="G41" s="32">
        <v>270</v>
      </c>
      <c r="H41" s="32"/>
      <c r="I41" s="34" t="s">
        <v>159</v>
      </c>
      <c r="J41" s="34" t="s">
        <v>160</v>
      </c>
      <c r="K41" s="37">
        <f>2014-2011</f>
        <v>3</v>
      </c>
      <c r="L41" s="33" t="s">
        <v>56</v>
      </c>
      <c r="M41" s="33">
        <v>3</v>
      </c>
      <c r="N41" s="33">
        <v>30</v>
      </c>
      <c r="O41" s="33" t="s">
        <v>57</v>
      </c>
      <c r="P41" s="38" t="s">
        <v>64</v>
      </c>
      <c r="Q41" s="39" t="s">
        <v>65</v>
      </c>
      <c r="R41" s="39" t="s">
        <v>60</v>
      </c>
      <c r="S41" s="40">
        <v>7227.3</v>
      </c>
      <c r="T41" s="40">
        <v>0</v>
      </c>
      <c r="U41" s="40">
        <f t="shared" si="0"/>
        <v>7227.3</v>
      </c>
      <c r="V41" s="40">
        <v>672</v>
      </c>
      <c r="W41" s="40">
        <v>402</v>
      </c>
      <c r="X41" s="40">
        <v>0</v>
      </c>
      <c r="Y41" s="40">
        <f>U41/30*25%*52</f>
        <v>3131.83</v>
      </c>
      <c r="Z41" s="40">
        <f t="shared" si="14"/>
        <v>1084.095</v>
      </c>
      <c r="AA41" s="40">
        <f t="shared" si="1"/>
        <v>216.81899999999999</v>
      </c>
      <c r="AB41" s="41">
        <v>539.72</v>
      </c>
      <c r="AC41" s="40">
        <f t="shared" si="2"/>
        <v>144.54600000000002</v>
      </c>
      <c r="AD41" s="40">
        <f t="shared" si="3"/>
        <v>3613.65</v>
      </c>
      <c r="AE41" s="42">
        <v>375</v>
      </c>
      <c r="AF41" s="42">
        <v>0</v>
      </c>
      <c r="AG41" s="40">
        <f t="shared" si="15"/>
        <v>56.25</v>
      </c>
      <c r="AH41" s="40">
        <f t="shared" si="4"/>
        <v>11.25</v>
      </c>
      <c r="AI41" s="40">
        <f t="shared" si="5"/>
        <v>43.363800000000005</v>
      </c>
      <c r="AJ41" s="40">
        <f t="shared" si="6"/>
        <v>7.5</v>
      </c>
      <c r="AK41" s="42">
        <f t="shared" si="7"/>
        <v>21.588800000000003</v>
      </c>
      <c r="AL41" s="42">
        <f t="shared" si="7"/>
        <v>5.7818400000000008</v>
      </c>
      <c r="AM41" s="42">
        <f>U41*6.58%</f>
        <v>475.55633999999998</v>
      </c>
      <c r="AN41" s="42">
        <f t="shared" si="8"/>
        <v>62.5</v>
      </c>
      <c r="AO41" s="42">
        <f t="shared" si="9"/>
        <v>187.5</v>
      </c>
      <c r="AP41" s="42">
        <f t="shared" si="10"/>
        <v>625</v>
      </c>
      <c r="AQ41" s="42">
        <f t="shared" si="11"/>
        <v>7599.3696200000004</v>
      </c>
      <c r="AR41" s="40">
        <f t="shared" si="12"/>
        <v>1204.55</v>
      </c>
      <c r="AS41" s="40">
        <f t="shared" si="13"/>
        <v>12045.5</v>
      </c>
      <c r="AT41" s="40">
        <v>7200</v>
      </c>
      <c r="AU41" s="40">
        <f t="shared" si="16"/>
        <v>158232.65961999999</v>
      </c>
      <c r="AV41" s="44"/>
      <c r="AW41" s="29"/>
      <c r="AX41" s="29"/>
      <c r="AY41" s="29"/>
      <c r="AZ41" s="29"/>
      <c r="BA41" s="30"/>
      <c r="BB41" s="30"/>
      <c r="BC41" s="30"/>
      <c r="BD41" s="30"/>
    </row>
    <row r="42" spans="2:56" ht="18" x14ac:dyDescent="0.25">
      <c r="B42" s="32">
        <v>38</v>
      </c>
      <c r="C42" s="33">
        <v>10</v>
      </c>
      <c r="D42" s="33">
        <v>1</v>
      </c>
      <c r="E42" s="32">
        <v>20</v>
      </c>
      <c r="F42" s="32">
        <v>38</v>
      </c>
      <c r="G42" s="32">
        <v>270</v>
      </c>
      <c r="H42" s="56"/>
      <c r="I42" s="34" t="s">
        <v>161</v>
      </c>
      <c r="J42" s="34" t="s">
        <v>162</v>
      </c>
      <c r="K42" s="37">
        <f>2014-2011</f>
        <v>3</v>
      </c>
      <c r="L42" s="33" t="s">
        <v>63</v>
      </c>
      <c r="M42" s="33">
        <v>3</v>
      </c>
      <c r="N42" s="33">
        <v>30</v>
      </c>
      <c r="O42" s="33" t="s">
        <v>57</v>
      </c>
      <c r="P42" s="38" t="s">
        <v>64</v>
      </c>
      <c r="Q42" s="39" t="s">
        <v>85</v>
      </c>
      <c r="R42" s="39" t="s">
        <v>60</v>
      </c>
      <c r="S42" s="40">
        <v>7227.3</v>
      </c>
      <c r="T42" s="40">
        <v>0</v>
      </c>
      <c r="U42" s="40">
        <f t="shared" si="0"/>
        <v>7227.3</v>
      </c>
      <c r="V42" s="40">
        <v>672</v>
      </c>
      <c r="W42" s="40">
        <v>402</v>
      </c>
      <c r="X42" s="40">
        <v>0</v>
      </c>
      <c r="Y42" s="40">
        <v>0</v>
      </c>
      <c r="Z42" s="40">
        <f t="shared" si="14"/>
        <v>1084.095</v>
      </c>
      <c r="AA42" s="40">
        <f t="shared" si="1"/>
        <v>216.81899999999999</v>
      </c>
      <c r="AB42" s="41">
        <v>539.72</v>
      </c>
      <c r="AC42" s="40">
        <f t="shared" si="2"/>
        <v>144.54600000000002</v>
      </c>
      <c r="AD42" s="40">
        <f t="shared" si="3"/>
        <v>3613.65</v>
      </c>
      <c r="AE42" s="42">
        <v>375</v>
      </c>
      <c r="AF42" s="42">
        <v>0</v>
      </c>
      <c r="AG42" s="40">
        <f t="shared" si="15"/>
        <v>56.25</v>
      </c>
      <c r="AH42" s="40">
        <f t="shared" si="4"/>
        <v>11.25</v>
      </c>
      <c r="AI42" s="40">
        <f t="shared" si="5"/>
        <v>43.363800000000005</v>
      </c>
      <c r="AJ42" s="40">
        <f t="shared" si="6"/>
        <v>7.5</v>
      </c>
      <c r="AK42" s="42">
        <f t="shared" si="7"/>
        <v>21.588800000000003</v>
      </c>
      <c r="AL42" s="42">
        <f t="shared" si="7"/>
        <v>5.7818400000000008</v>
      </c>
      <c r="AM42" s="42">
        <v>0</v>
      </c>
      <c r="AN42" s="42">
        <f t="shared" si="8"/>
        <v>62.5</v>
      </c>
      <c r="AO42" s="42">
        <f t="shared" si="9"/>
        <v>187.5</v>
      </c>
      <c r="AP42" s="42">
        <f t="shared" si="10"/>
        <v>625</v>
      </c>
      <c r="AQ42" s="42">
        <f t="shared" si="11"/>
        <v>7123.8132800000003</v>
      </c>
      <c r="AR42" s="40">
        <f t="shared" si="12"/>
        <v>1204.55</v>
      </c>
      <c r="AS42" s="40">
        <f t="shared" si="13"/>
        <v>12045.5</v>
      </c>
      <c r="AT42" s="40">
        <v>7200</v>
      </c>
      <c r="AU42" s="40">
        <f t="shared" si="16"/>
        <v>154625.27327999996</v>
      </c>
      <c r="AV42" s="43"/>
      <c r="AW42" s="29"/>
      <c r="AX42" s="29"/>
      <c r="AY42" s="46"/>
      <c r="AZ42" s="46"/>
      <c r="BA42" s="46"/>
      <c r="BB42" s="46"/>
      <c r="BC42" s="46"/>
      <c r="BD42" s="46"/>
    </row>
    <row r="43" spans="2:56" ht="18" x14ac:dyDescent="0.25">
      <c r="B43" s="32">
        <v>39</v>
      </c>
      <c r="C43" s="33">
        <v>10</v>
      </c>
      <c r="D43" s="33">
        <v>1</v>
      </c>
      <c r="E43" s="32">
        <v>20</v>
      </c>
      <c r="F43" s="32">
        <v>39</v>
      </c>
      <c r="G43" s="32">
        <v>270</v>
      </c>
      <c r="H43" s="57"/>
      <c r="I43" s="34" t="s">
        <v>163</v>
      </c>
      <c r="J43" s="35" t="s">
        <v>164</v>
      </c>
      <c r="K43" s="37">
        <f>2014-2003</f>
        <v>11</v>
      </c>
      <c r="L43" s="33" t="s">
        <v>56</v>
      </c>
      <c r="M43" s="33">
        <v>4</v>
      </c>
      <c r="N43" s="33">
        <v>30</v>
      </c>
      <c r="O43" s="33" t="s">
        <v>57</v>
      </c>
      <c r="P43" s="38" t="s">
        <v>68</v>
      </c>
      <c r="Q43" s="39" t="s">
        <v>107</v>
      </c>
      <c r="R43" s="39" t="s">
        <v>60</v>
      </c>
      <c r="S43" s="40">
        <v>7491</v>
      </c>
      <c r="T43" s="40">
        <v>0</v>
      </c>
      <c r="U43" s="40">
        <f t="shared" si="0"/>
        <v>7491</v>
      </c>
      <c r="V43" s="40">
        <v>682</v>
      </c>
      <c r="W43" s="40">
        <v>412</v>
      </c>
      <c r="X43" s="40">
        <v>292</v>
      </c>
      <c r="Y43" s="40">
        <v>0</v>
      </c>
      <c r="Z43" s="40">
        <f t="shared" si="14"/>
        <v>1167.45</v>
      </c>
      <c r="AA43" s="40">
        <f t="shared" si="1"/>
        <v>233.48999999999998</v>
      </c>
      <c r="AB43" s="41">
        <v>547.69000000000005</v>
      </c>
      <c r="AC43" s="40">
        <f t="shared" si="2"/>
        <v>155.66</v>
      </c>
      <c r="AD43" s="40">
        <f t="shared" si="3"/>
        <v>3745.5</v>
      </c>
      <c r="AE43" s="42">
        <v>375</v>
      </c>
      <c r="AF43" s="42">
        <v>0</v>
      </c>
      <c r="AG43" s="40">
        <f t="shared" si="15"/>
        <v>56.25</v>
      </c>
      <c r="AH43" s="40">
        <f t="shared" si="4"/>
        <v>11.25</v>
      </c>
      <c r="AI43" s="40">
        <f t="shared" si="5"/>
        <v>46.698</v>
      </c>
      <c r="AJ43" s="40">
        <f t="shared" si="6"/>
        <v>7.5</v>
      </c>
      <c r="AK43" s="42">
        <f t="shared" si="7"/>
        <v>21.907600000000002</v>
      </c>
      <c r="AL43" s="42">
        <f t="shared" si="7"/>
        <v>6.2263999999999999</v>
      </c>
      <c r="AM43" s="42">
        <v>0</v>
      </c>
      <c r="AN43" s="42">
        <f t="shared" si="8"/>
        <v>62.5</v>
      </c>
      <c r="AO43" s="42">
        <f t="shared" si="9"/>
        <v>187.5</v>
      </c>
      <c r="AP43" s="42">
        <f t="shared" si="10"/>
        <v>625</v>
      </c>
      <c r="AQ43" s="42">
        <f t="shared" si="11"/>
        <v>7172.9840000000004</v>
      </c>
      <c r="AR43" s="40">
        <f t="shared" si="12"/>
        <v>1248.5</v>
      </c>
      <c r="AS43" s="40">
        <f t="shared" si="13"/>
        <v>12485</v>
      </c>
      <c r="AT43" s="40">
        <v>7200</v>
      </c>
      <c r="AU43" s="40">
        <f t="shared" si="16"/>
        <v>163627.46400000001</v>
      </c>
      <c r="AV43" s="29"/>
      <c r="AW43" s="29"/>
      <c r="AX43" s="29"/>
      <c r="AY43" s="46"/>
      <c r="AZ43" s="46"/>
      <c r="BA43" s="58"/>
      <c r="BB43" s="58"/>
      <c r="BC43" s="58"/>
      <c r="BD43" s="58"/>
    </row>
    <row r="44" spans="2:56" ht="18" x14ac:dyDescent="0.25">
      <c r="B44" s="32">
        <v>40</v>
      </c>
      <c r="C44" s="33">
        <v>10</v>
      </c>
      <c r="D44" s="33">
        <v>1</v>
      </c>
      <c r="E44" s="32">
        <v>20</v>
      </c>
      <c r="F44" s="32">
        <v>40</v>
      </c>
      <c r="G44" s="32">
        <v>270</v>
      </c>
      <c r="H44" s="32"/>
      <c r="I44" s="34" t="s">
        <v>165</v>
      </c>
      <c r="J44" s="35" t="s">
        <v>166</v>
      </c>
      <c r="K44" s="37">
        <f>2014-2003</f>
        <v>11</v>
      </c>
      <c r="L44" s="33" t="s">
        <v>56</v>
      </c>
      <c r="M44" s="33">
        <v>3</v>
      </c>
      <c r="N44" s="33">
        <v>30</v>
      </c>
      <c r="O44" s="33" t="s">
        <v>57</v>
      </c>
      <c r="P44" s="38" t="s">
        <v>64</v>
      </c>
      <c r="Q44" s="39" t="s">
        <v>65</v>
      </c>
      <c r="R44" s="39" t="s">
        <v>60</v>
      </c>
      <c r="S44" s="40">
        <v>7227.3</v>
      </c>
      <c r="T44" s="40">
        <v>0</v>
      </c>
      <c r="U44" s="40">
        <f t="shared" si="0"/>
        <v>7227.3</v>
      </c>
      <c r="V44" s="40">
        <v>672</v>
      </c>
      <c r="W44" s="40">
        <v>402</v>
      </c>
      <c r="X44" s="40">
        <v>292</v>
      </c>
      <c r="Y44" s="40">
        <v>0</v>
      </c>
      <c r="Z44" s="40">
        <f t="shared" si="14"/>
        <v>1127.895</v>
      </c>
      <c r="AA44" s="40">
        <f t="shared" si="1"/>
        <v>225.57900000000001</v>
      </c>
      <c r="AB44" s="41">
        <v>547.45000000000005</v>
      </c>
      <c r="AC44" s="40">
        <f t="shared" si="2"/>
        <v>150.386</v>
      </c>
      <c r="AD44" s="40">
        <f t="shared" si="3"/>
        <v>3613.65</v>
      </c>
      <c r="AE44" s="42">
        <v>375</v>
      </c>
      <c r="AF44" s="42">
        <v>0</v>
      </c>
      <c r="AG44" s="40">
        <f t="shared" si="15"/>
        <v>56.25</v>
      </c>
      <c r="AH44" s="40">
        <f t="shared" si="4"/>
        <v>11.25</v>
      </c>
      <c r="AI44" s="40">
        <f t="shared" si="5"/>
        <v>45.1158</v>
      </c>
      <c r="AJ44" s="40">
        <f t="shared" si="6"/>
        <v>7.5</v>
      </c>
      <c r="AK44" s="42">
        <f t="shared" si="7"/>
        <v>21.898000000000003</v>
      </c>
      <c r="AL44" s="42">
        <f t="shared" si="7"/>
        <v>6.0154399999999999</v>
      </c>
      <c r="AM44" s="42">
        <v>0</v>
      </c>
      <c r="AN44" s="42">
        <f t="shared" si="8"/>
        <v>62.5</v>
      </c>
      <c r="AO44" s="42">
        <f t="shared" si="9"/>
        <v>187.5</v>
      </c>
      <c r="AP44" s="42">
        <f t="shared" si="10"/>
        <v>625</v>
      </c>
      <c r="AQ44" s="42">
        <f t="shared" si="11"/>
        <v>7151.35088</v>
      </c>
      <c r="AR44" s="40">
        <f t="shared" si="12"/>
        <v>1204.55</v>
      </c>
      <c r="AS44" s="40">
        <f t="shared" si="13"/>
        <v>12045.5</v>
      </c>
      <c r="AT44" s="40">
        <v>7200</v>
      </c>
      <c r="AU44" s="40">
        <f t="shared" si="16"/>
        <v>158950.37088</v>
      </c>
      <c r="AV44" s="29"/>
      <c r="AW44" s="29"/>
      <c r="AX44" s="29"/>
      <c r="AY44" s="29"/>
      <c r="AZ44" s="29"/>
      <c r="BA44" s="30"/>
      <c r="BB44" s="30"/>
      <c r="BC44" s="30"/>
      <c r="BD44" s="30"/>
    </row>
    <row r="45" spans="2:56" ht="18" x14ac:dyDescent="0.25">
      <c r="B45" s="32">
        <v>41</v>
      </c>
      <c r="C45" s="33">
        <v>10</v>
      </c>
      <c r="D45" s="33">
        <v>1</v>
      </c>
      <c r="E45" s="32">
        <v>20</v>
      </c>
      <c r="F45" s="32">
        <v>41</v>
      </c>
      <c r="G45" s="32">
        <v>270</v>
      </c>
      <c r="H45" s="32"/>
      <c r="I45" s="34" t="s">
        <v>167</v>
      </c>
      <c r="J45" s="35" t="s">
        <v>168</v>
      </c>
      <c r="K45" s="37">
        <f>2014-1999</f>
        <v>15</v>
      </c>
      <c r="L45" s="33" t="s">
        <v>56</v>
      </c>
      <c r="M45" s="33">
        <v>6</v>
      </c>
      <c r="N45" s="33">
        <v>30</v>
      </c>
      <c r="O45" s="33" t="s">
        <v>57</v>
      </c>
      <c r="P45" s="38" t="s">
        <v>58</v>
      </c>
      <c r="Q45" s="39" t="s">
        <v>169</v>
      </c>
      <c r="R45" s="39" t="s">
        <v>74</v>
      </c>
      <c r="S45" s="40">
        <v>8051.1</v>
      </c>
      <c r="T45" s="40">
        <v>0</v>
      </c>
      <c r="U45" s="40">
        <f t="shared" si="0"/>
        <v>8051.1</v>
      </c>
      <c r="V45" s="40">
        <v>767</v>
      </c>
      <c r="W45" s="40">
        <v>513</v>
      </c>
      <c r="X45" s="40">
        <v>365.2</v>
      </c>
      <c r="Y45" s="40">
        <v>0</v>
      </c>
      <c r="Z45" s="40">
        <f t="shared" si="14"/>
        <v>1262.4450000000002</v>
      </c>
      <c r="AA45" s="40">
        <f t="shared" si="1"/>
        <v>252.48900000000003</v>
      </c>
      <c r="AB45" s="41">
        <v>565.23</v>
      </c>
      <c r="AC45" s="40">
        <f t="shared" si="2"/>
        <v>168.32600000000002</v>
      </c>
      <c r="AD45" s="40">
        <f t="shared" si="3"/>
        <v>4025.55</v>
      </c>
      <c r="AE45" s="42">
        <v>338</v>
      </c>
      <c r="AF45" s="42">
        <v>70.099999999999994</v>
      </c>
      <c r="AG45" s="40">
        <f t="shared" si="15"/>
        <v>61.215000000000003</v>
      </c>
      <c r="AH45" s="40">
        <f t="shared" si="4"/>
        <v>12.243</v>
      </c>
      <c r="AI45" s="40">
        <f t="shared" si="5"/>
        <v>50.497800000000005</v>
      </c>
      <c r="AJ45" s="40">
        <f t="shared" si="6"/>
        <v>8.1620000000000008</v>
      </c>
      <c r="AK45" s="42">
        <f t="shared" si="7"/>
        <v>22.609200000000001</v>
      </c>
      <c r="AL45" s="42">
        <f t="shared" si="7"/>
        <v>6.7330400000000008</v>
      </c>
      <c r="AM45" s="42">
        <v>0</v>
      </c>
      <c r="AN45" s="42">
        <f t="shared" si="8"/>
        <v>56.333333333333336</v>
      </c>
      <c r="AO45" s="42">
        <f t="shared" si="9"/>
        <v>169</v>
      </c>
      <c r="AP45" s="42">
        <f t="shared" si="10"/>
        <v>563.33333333333337</v>
      </c>
      <c r="AQ45" s="42">
        <f t="shared" si="11"/>
        <v>7623.3871466666678</v>
      </c>
      <c r="AR45" s="40">
        <f t="shared" si="12"/>
        <v>1341.85</v>
      </c>
      <c r="AS45" s="40">
        <f t="shared" si="13"/>
        <v>13418.5</v>
      </c>
      <c r="AT45" s="40">
        <v>7200</v>
      </c>
      <c r="AU45" s="40">
        <f t="shared" si="16"/>
        <v>176946.76714666668</v>
      </c>
      <c r="AV45" s="45"/>
      <c r="AW45" s="44"/>
      <c r="AX45" s="44"/>
      <c r="AY45" s="29"/>
      <c r="AZ45" s="29"/>
      <c r="BA45" s="30"/>
      <c r="BB45" s="30"/>
      <c r="BC45" s="30"/>
      <c r="BD45" s="30"/>
    </row>
    <row r="46" spans="2:56" ht="18" x14ac:dyDescent="0.25">
      <c r="B46" s="32">
        <v>42</v>
      </c>
      <c r="C46" s="33">
        <v>10</v>
      </c>
      <c r="D46" s="33">
        <v>1</v>
      </c>
      <c r="E46" s="32">
        <v>20</v>
      </c>
      <c r="F46" s="32">
        <v>42</v>
      </c>
      <c r="G46" s="32">
        <v>270</v>
      </c>
      <c r="H46" s="32"/>
      <c r="I46" s="34" t="s">
        <v>170</v>
      </c>
      <c r="J46" s="35" t="s">
        <v>171</v>
      </c>
      <c r="K46" s="37">
        <f>2014-1986</f>
        <v>28</v>
      </c>
      <c r="L46" s="33" t="s">
        <v>63</v>
      </c>
      <c r="M46" s="33">
        <v>5</v>
      </c>
      <c r="N46" s="33">
        <v>30</v>
      </c>
      <c r="O46" s="33" t="s">
        <v>57</v>
      </c>
      <c r="P46" s="38" t="s">
        <v>172</v>
      </c>
      <c r="Q46" s="39" t="s">
        <v>85</v>
      </c>
      <c r="R46" s="39" t="s">
        <v>60</v>
      </c>
      <c r="S46" s="40">
        <v>7829.1</v>
      </c>
      <c r="T46" s="40">
        <v>0</v>
      </c>
      <c r="U46" s="40">
        <f t="shared" si="0"/>
        <v>7829.1</v>
      </c>
      <c r="V46" s="40">
        <v>692</v>
      </c>
      <c r="W46" s="40">
        <v>423</v>
      </c>
      <c r="X46" s="40">
        <v>511.28</v>
      </c>
      <c r="Y46" s="40">
        <v>0</v>
      </c>
      <c r="Z46" s="40">
        <f t="shared" si="14"/>
        <v>1251.057</v>
      </c>
      <c r="AA46" s="40">
        <f t="shared" si="1"/>
        <v>250.21140000000003</v>
      </c>
      <c r="AB46" s="41">
        <v>557.55999999999995</v>
      </c>
      <c r="AC46" s="40">
        <f t="shared" si="2"/>
        <v>166.80760000000004</v>
      </c>
      <c r="AD46" s="40">
        <f t="shared" si="3"/>
        <v>3914.55</v>
      </c>
      <c r="AE46" s="42">
        <v>338</v>
      </c>
      <c r="AF46" s="42">
        <v>0</v>
      </c>
      <c r="AG46" s="40">
        <f t="shared" si="15"/>
        <v>50.699999999999996</v>
      </c>
      <c r="AH46" s="40">
        <f t="shared" si="4"/>
        <v>10.139999999999999</v>
      </c>
      <c r="AI46" s="40">
        <f t="shared" si="5"/>
        <v>50.042280000000005</v>
      </c>
      <c r="AJ46" s="40">
        <f t="shared" si="6"/>
        <v>6.76</v>
      </c>
      <c r="AK46" s="42">
        <f t="shared" si="7"/>
        <v>22.302399999999999</v>
      </c>
      <c r="AL46" s="42">
        <f t="shared" si="7"/>
        <v>6.6723040000000013</v>
      </c>
      <c r="AM46" s="42">
        <v>0</v>
      </c>
      <c r="AN46" s="42">
        <f t="shared" si="8"/>
        <v>56.333333333333336</v>
      </c>
      <c r="AO46" s="42">
        <f t="shared" si="9"/>
        <v>169</v>
      </c>
      <c r="AP46" s="42">
        <f t="shared" si="10"/>
        <v>563.33333333333337</v>
      </c>
      <c r="AQ46" s="42">
        <f t="shared" si="11"/>
        <v>6604.0704746666661</v>
      </c>
      <c r="AR46" s="40">
        <f t="shared" si="12"/>
        <v>1304.8500000000001</v>
      </c>
      <c r="AS46" s="40">
        <f t="shared" si="13"/>
        <v>13048.500000000002</v>
      </c>
      <c r="AT46" s="40">
        <v>7200</v>
      </c>
      <c r="AU46" s="40">
        <f t="shared" si="16"/>
        <v>172244.16247466666</v>
      </c>
      <c r="AV46" s="28"/>
      <c r="AW46" s="46"/>
      <c r="AX46" s="46"/>
      <c r="AY46" s="29"/>
      <c r="AZ46" s="29"/>
      <c r="BA46" s="30"/>
      <c r="BB46" s="30"/>
      <c r="BC46" s="30"/>
      <c r="BD46" s="30"/>
    </row>
    <row r="47" spans="2:56" ht="18" x14ac:dyDescent="0.25">
      <c r="B47" s="32">
        <v>43</v>
      </c>
      <c r="C47" s="33">
        <v>10</v>
      </c>
      <c r="D47" s="33">
        <v>1</v>
      </c>
      <c r="E47" s="32">
        <v>20</v>
      </c>
      <c r="F47" s="32">
        <v>43</v>
      </c>
      <c r="G47" s="32">
        <v>270</v>
      </c>
      <c r="H47" s="32"/>
      <c r="I47" s="34" t="s">
        <v>173</v>
      </c>
      <c r="J47" s="35" t="s">
        <v>174</v>
      </c>
      <c r="K47" s="37">
        <f>2014-1990</f>
        <v>24</v>
      </c>
      <c r="L47" s="33" t="s">
        <v>63</v>
      </c>
      <c r="M47" s="33">
        <v>5</v>
      </c>
      <c r="N47" s="33">
        <v>30</v>
      </c>
      <c r="O47" s="33" t="s">
        <v>57</v>
      </c>
      <c r="P47" s="38" t="s">
        <v>172</v>
      </c>
      <c r="Q47" s="39" t="s">
        <v>85</v>
      </c>
      <c r="R47" s="39" t="s">
        <v>60</v>
      </c>
      <c r="S47" s="40">
        <v>7630.2</v>
      </c>
      <c r="T47" s="40">
        <v>0</v>
      </c>
      <c r="U47" s="40">
        <f t="shared" si="0"/>
        <v>7630.2</v>
      </c>
      <c r="V47" s="40">
        <v>692</v>
      </c>
      <c r="W47" s="40">
        <v>423</v>
      </c>
      <c r="X47" s="40">
        <v>511.28</v>
      </c>
      <c r="Y47" s="40">
        <v>0</v>
      </c>
      <c r="Z47" s="40">
        <f t="shared" si="14"/>
        <v>1221.222</v>
      </c>
      <c r="AA47" s="40">
        <f t="shared" si="1"/>
        <v>244.24439999999998</v>
      </c>
      <c r="AB47" s="41">
        <v>552.15</v>
      </c>
      <c r="AC47" s="40">
        <f t="shared" si="2"/>
        <v>162.8296</v>
      </c>
      <c r="AD47" s="40">
        <f t="shared" si="3"/>
        <v>3815.1</v>
      </c>
      <c r="AE47" s="42">
        <v>338</v>
      </c>
      <c r="AF47" s="42">
        <v>70.099999999999994</v>
      </c>
      <c r="AG47" s="40">
        <f t="shared" si="15"/>
        <v>61.215000000000003</v>
      </c>
      <c r="AH47" s="40">
        <f t="shared" si="4"/>
        <v>12.243</v>
      </c>
      <c r="AI47" s="40">
        <f t="shared" si="5"/>
        <v>48.848880000000001</v>
      </c>
      <c r="AJ47" s="40">
        <f t="shared" si="6"/>
        <v>8.1620000000000008</v>
      </c>
      <c r="AK47" s="42">
        <f t="shared" si="7"/>
        <v>22.085999999999999</v>
      </c>
      <c r="AL47" s="42">
        <f t="shared" si="7"/>
        <v>6.5131839999999999</v>
      </c>
      <c r="AM47" s="42">
        <v>0</v>
      </c>
      <c r="AN47" s="42">
        <f t="shared" si="8"/>
        <v>56.333333333333336</v>
      </c>
      <c r="AO47" s="42">
        <f t="shared" si="9"/>
        <v>169</v>
      </c>
      <c r="AP47" s="42">
        <f t="shared" si="10"/>
        <v>563.33333333333337</v>
      </c>
      <c r="AQ47" s="42">
        <f t="shared" si="11"/>
        <v>7594.6834346666683</v>
      </c>
      <c r="AR47" s="40">
        <f t="shared" si="12"/>
        <v>1271.7</v>
      </c>
      <c r="AS47" s="40">
        <f t="shared" si="13"/>
        <v>12717</v>
      </c>
      <c r="AT47" s="40">
        <v>7200</v>
      </c>
      <c r="AU47" s="40">
        <f t="shared" si="16"/>
        <v>169841.59543466667</v>
      </c>
      <c r="AV47" s="47"/>
      <c r="AW47" s="29"/>
      <c r="AX47" s="29"/>
      <c r="AY47" s="29"/>
      <c r="AZ47" s="29"/>
      <c r="BA47" s="30"/>
      <c r="BB47" s="30"/>
      <c r="BC47" s="30"/>
      <c r="BD47" s="30"/>
    </row>
    <row r="48" spans="2:56" ht="18" x14ac:dyDescent="0.25">
      <c r="B48" s="32">
        <v>44</v>
      </c>
      <c r="C48" s="33">
        <v>10</v>
      </c>
      <c r="D48" s="33">
        <v>1</v>
      </c>
      <c r="E48" s="32">
        <v>20</v>
      </c>
      <c r="F48" s="32">
        <v>44</v>
      </c>
      <c r="G48" s="32">
        <v>270</v>
      </c>
      <c r="H48" s="32"/>
      <c r="I48" s="34" t="s">
        <v>175</v>
      </c>
      <c r="J48" s="35" t="s">
        <v>176</v>
      </c>
      <c r="K48" s="37">
        <f>2014-1998</f>
        <v>16</v>
      </c>
      <c r="L48" s="33" t="s">
        <v>56</v>
      </c>
      <c r="M48" s="33">
        <v>3</v>
      </c>
      <c r="N48" s="33">
        <v>30</v>
      </c>
      <c r="O48" s="33" t="s">
        <v>57</v>
      </c>
      <c r="P48" s="38" t="s">
        <v>64</v>
      </c>
      <c r="Q48" s="39" t="s">
        <v>65</v>
      </c>
      <c r="R48" s="39" t="s">
        <v>60</v>
      </c>
      <c r="S48" s="40">
        <v>7227.3</v>
      </c>
      <c r="T48" s="40">
        <v>0</v>
      </c>
      <c r="U48" s="40">
        <f t="shared" si="0"/>
        <v>7227.3</v>
      </c>
      <c r="V48" s="40">
        <v>672</v>
      </c>
      <c r="W48" s="40">
        <v>402</v>
      </c>
      <c r="X48" s="40">
        <v>365.2</v>
      </c>
      <c r="Y48" s="40">
        <v>0</v>
      </c>
      <c r="Z48" s="40">
        <f t="shared" si="14"/>
        <v>1138.875</v>
      </c>
      <c r="AA48" s="40">
        <f t="shared" si="1"/>
        <v>227.77500000000001</v>
      </c>
      <c r="AB48" s="41">
        <v>540.38</v>
      </c>
      <c r="AC48" s="40">
        <f t="shared" si="2"/>
        <v>151.85</v>
      </c>
      <c r="AD48" s="40">
        <f t="shared" si="3"/>
        <v>3613.65</v>
      </c>
      <c r="AE48" s="42">
        <v>375</v>
      </c>
      <c r="AF48" s="42">
        <v>0</v>
      </c>
      <c r="AG48" s="40">
        <f t="shared" si="15"/>
        <v>56.25</v>
      </c>
      <c r="AH48" s="40">
        <f t="shared" si="4"/>
        <v>11.25</v>
      </c>
      <c r="AI48" s="40">
        <f t="shared" si="5"/>
        <v>45.555</v>
      </c>
      <c r="AJ48" s="40">
        <f t="shared" si="6"/>
        <v>7.5</v>
      </c>
      <c r="AK48" s="42">
        <f t="shared" si="7"/>
        <v>21.615200000000002</v>
      </c>
      <c r="AL48" s="42">
        <f t="shared" si="7"/>
        <v>6.0739999999999998</v>
      </c>
      <c r="AM48" s="42">
        <v>0</v>
      </c>
      <c r="AN48" s="42">
        <f t="shared" si="8"/>
        <v>62.5</v>
      </c>
      <c r="AO48" s="42">
        <f t="shared" si="9"/>
        <v>187.5</v>
      </c>
      <c r="AP48" s="42">
        <f t="shared" si="10"/>
        <v>625</v>
      </c>
      <c r="AQ48" s="42">
        <f t="shared" si="11"/>
        <v>7153.9303999999993</v>
      </c>
      <c r="AR48" s="40">
        <f t="shared" si="12"/>
        <v>1204.55</v>
      </c>
      <c r="AS48" s="40">
        <f t="shared" si="13"/>
        <v>12045.5</v>
      </c>
      <c r="AT48" s="40">
        <v>7200</v>
      </c>
      <c r="AU48" s="40">
        <f t="shared" si="16"/>
        <v>159922.19039999999</v>
      </c>
      <c r="AV48" s="48"/>
      <c r="AW48" s="29"/>
      <c r="AX48" s="29"/>
      <c r="AY48" s="29"/>
      <c r="AZ48" s="29"/>
      <c r="BA48" s="30"/>
      <c r="BB48" s="30"/>
      <c r="BC48" s="30"/>
      <c r="BD48" s="30"/>
    </row>
    <row r="49" spans="2:56" ht="18" x14ac:dyDescent="0.25">
      <c r="B49" s="32">
        <v>45</v>
      </c>
      <c r="C49" s="33">
        <v>10</v>
      </c>
      <c r="D49" s="33">
        <v>1</v>
      </c>
      <c r="E49" s="32">
        <v>20</v>
      </c>
      <c r="F49" s="32">
        <v>45</v>
      </c>
      <c r="G49" s="32">
        <v>270</v>
      </c>
      <c r="H49" s="32"/>
      <c r="I49" s="34" t="s">
        <v>177</v>
      </c>
      <c r="J49" s="35" t="s">
        <v>178</v>
      </c>
      <c r="K49" s="37">
        <f>2014-1985</f>
        <v>29</v>
      </c>
      <c r="L49" s="33" t="s">
        <v>63</v>
      </c>
      <c r="M49" s="33">
        <v>13</v>
      </c>
      <c r="N49" s="33">
        <v>30</v>
      </c>
      <c r="O49" s="33" t="s">
        <v>57</v>
      </c>
      <c r="P49" s="38" t="s">
        <v>130</v>
      </c>
      <c r="Q49" s="39" t="s">
        <v>179</v>
      </c>
      <c r="R49" s="39" t="s">
        <v>180</v>
      </c>
      <c r="S49" s="40">
        <v>10757.4</v>
      </c>
      <c r="T49" s="40">
        <v>0</v>
      </c>
      <c r="U49" s="40">
        <f t="shared" si="0"/>
        <v>10757.4</v>
      </c>
      <c r="V49" s="40">
        <f>846+80</f>
        <v>926</v>
      </c>
      <c r="W49" s="40">
        <f>528+50</f>
        <v>578</v>
      </c>
      <c r="X49" s="40">
        <v>511.28</v>
      </c>
      <c r="Y49" s="40">
        <v>0</v>
      </c>
      <c r="Z49" s="40">
        <f t="shared" si="14"/>
        <v>1690.3019999999999</v>
      </c>
      <c r="AA49" s="40">
        <f t="shared" si="1"/>
        <v>338.06040000000002</v>
      </c>
      <c r="AB49" s="41">
        <v>643.12</v>
      </c>
      <c r="AC49" s="40">
        <f t="shared" si="2"/>
        <v>225.37360000000001</v>
      </c>
      <c r="AD49" s="40">
        <f t="shared" si="3"/>
        <v>5378.7</v>
      </c>
      <c r="AE49" s="42">
        <v>300</v>
      </c>
      <c r="AF49" s="42">
        <v>70.099999999999994</v>
      </c>
      <c r="AG49" s="40">
        <f t="shared" si="15"/>
        <v>55.515000000000001</v>
      </c>
      <c r="AH49" s="40">
        <f t="shared" si="4"/>
        <v>11.103</v>
      </c>
      <c r="AI49" s="40">
        <f t="shared" si="5"/>
        <v>67.612079999999992</v>
      </c>
      <c r="AJ49" s="40">
        <f t="shared" si="6"/>
        <v>7.402000000000001</v>
      </c>
      <c r="AK49" s="42">
        <f t="shared" si="7"/>
        <v>25.724800000000002</v>
      </c>
      <c r="AL49" s="42">
        <f t="shared" si="7"/>
        <v>9.0149439999999998</v>
      </c>
      <c r="AM49" s="42">
        <v>0</v>
      </c>
      <c r="AN49" s="42">
        <f t="shared" si="8"/>
        <v>50</v>
      </c>
      <c r="AO49" s="42">
        <f t="shared" si="9"/>
        <v>150</v>
      </c>
      <c r="AP49" s="42">
        <f t="shared" si="10"/>
        <v>500</v>
      </c>
      <c r="AQ49" s="42">
        <f t="shared" si="11"/>
        <v>7257.6618879999996</v>
      </c>
      <c r="AR49" s="40">
        <f t="shared" si="12"/>
        <v>1792.8999999999999</v>
      </c>
      <c r="AS49" s="40">
        <f t="shared" si="13"/>
        <v>17929</v>
      </c>
      <c r="AT49" s="40">
        <v>7200</v>
      </c>
      <c r="AU49" s="40">
        <f t="shared" si="16"/>
        <v>227592.69388800004</v>
      </c>
      <c r="AV49" s="45"/>
      <c r="AW49" s="29"/>
      <c r="AX49" s="29"/>
      <c r="AY49" s="29"/>
      <c r="AZ49" s="29"/>
      <c r="BA49" s="30"/>
      <c r="BB49" s="30"/>
      <c r="BC49" s="30"/>
      <c r="BD49" s="30"/>
    </row>
    <row r="50" spans="2:56" ht="18" x14ac:dyDescent="0.25">
      <c r="B50" s="32">
        <v>46</v>
      </c>
      <c r="C50" s="33">
        <v>10</v>
      </c>
      <c r="D50" s="33">
        <v>1</v>
      </c>
      <c r="E50" s="32">
        <v>20</v>
      </c>
      <c r="F50" s="32">
        <v>46</v>
      </c>
      <c r="G50" s="32">
        <v>270</v>
      </c>
      <c r="H50" s="32"/>
      <c r="I50" s="34" t="s">
        <v>181</v>
      </c>
      <c r="J50" s="35" t="s">
        <v>182</v>
      </c>
      <c r="K50" s="37">
        <f>2014-1999</f>
        <v>15</v>
      </c>
      <c r="L50" s="33" t="s">
        <v>63</v>
      </c>
      <c r="M50" s="33">
        <v>4</v>
      </c>
      <c r="N50" s="33">
        <v>30</v>
      </c>
      <c r="O50" s="33" t="s">
        <v>57</v>
      </c>
      <c r="P50" s="38" t="s">
        <v>68</v>
      </c>
      <c r="Q50" s="39" t="s">
        <v>59</v>
      </c>
      <c r="R50" s="39" t="s">
        <v>60</v>
      </c>
      <c r="S50" s="40">
        <v>7491</v>
      </c>
      <c r="T50" s="40">
        <v>0</v>
      </c>
      <c r="U50" s="40">
        <f t="shared" si="0"/>
        <v>7491</v>
      </c>
      <c r="V50" s="40">
        <v>682</v>
      </c>
      <c r="W50" s="40">
        <v>412</v>
      </c>
      <c r="X50" s="40">
        <v>365.2</v>
      </c>
      <c r="Y50" s="40">
        <v>0</v>
      </c>
      <c r="Z50" s="40">
        <f t="shared" si="14"/>
        <v>1178.4299999999998</v>
      </c>
      <c r="AA50" s="40">
        <f t="shared" si="1"/>
        <v>235.68599999999998</v>
      </c>
      <c r="AB50" s="41">
        <v>547.83000000000004</v>
      </c>
      <c r="AC50" s="40">
        <f t="shared" si="2"/>
        <v>157.124</v>
      </c>
      <c r="AD50" s="40">
        <f t="shared" si="3"/>
        <v>3745.5</v>
      </c>
      <c r="AE50" s="42">
        <v>375</v>
      </c>
      <c r="AF50" s="42">
        <v>70.099999999999994</v>
      </c>
      <c r="AG50" s="40">
        <f t="shared" si="15"/>
        <v>66.765000000000001</v>
      </c>
      <c r="AH50" s="40">
        <f t="shared" si="4"/>
        <v>13.353</v>
      </c>
      <c r="AI50" s="40">
        <f t="shared" si="5"/>
        <v>47.137199999999993</v>
      </c>
      <c r="AJ50" s="40">
        <f t="shared" si="6"/>
        <v>8.902000000000001</v>
      </c>
      <c r="AK50" s="42">
        <f t="shared" si="7"/>
        <v>21.913200000000003</v>
      </c>
      <c r="AL50" s="42">
        <f t="shared" si="7"/>
        <v>6.2849599999999999</v>
      </c>
      <c r="AM50" s="42">
        <v>0</v>
      </c>
      <c r="AN50" s="42">
        <f t="shared" si="8"/>
        <v>62.5</v>
      </c>
      <c r="AO50" s="42">
        <f t="shared" si="9"/>
        <v>187.5</v>
      </c>
      <c r="AP50" s="42">
        <f t="shared" si="10"/>
        <v>625</v>
      </c>
      <c r="AQ50" s="42">
        <f t="shared" si="11"/>
        <v>8188.4643199999991</v>
      </c>
      <c r="AR50" s="40">
        <f t="shared" si="12"/>
        <v>1248.5</v>
      </c>
      <c r="AS50" s="40">
        <f t="shared" si="13"/>
        <v>12485</v>
      </c>
      <c r="AT50" s="40">
        <v>7200</v>
      </c>
      <c r="AU50" s="40">
        <f t="shared" si="16"/>
        <v>165698.70431999999</v>
      </c>
      <c r="AV50" s="45"/>
      <c r="AW50" s="29"/>
      <c r="AX50" s="29"/>
      <c r="AY50" s="29"/>
      <c r="AZ50" s="29"/>
      <c r="BA50" s="30"/>
      <c r="BB50" s="30"/>
      <c r="BC50" s="30"/>
      <c r="BD50" s="30"/>
    </row>
    <row r="51" spans="2:56" ht="18" x14ac:dyDescent="0.25">
      <c r="B51" s="32">
        <v>47</v>
      </c>
      <c r="C51" s="33">
        <v>10</v>
      </c>
      <c r="D51" s="33">
        <v>1</v>
      </c>
      <c r="E51" s="32">
        <v>20</v>
      </c>
      <c r="F51" s="32">
        <v>47</v>
      </c>
      <c r="G51" s="32">
        <v>270</v>
      </c>
      <c r="H51" s="32"/>
      <c r="I51" s="59" t="s">
        <v>183</v>
      </c>
      <c r="J51" s="35" t="s">
        <v>184</v>
      </c>
      <c r="K51" s="37">
        <f>2014-2010</f>
        <v>4</v>
      </c>
      <c r="L51" s="33" t="s">
        <v>63</v>
      </c>
      <c r="M51" s="33">
        <v>3</v>
      </c>
      <c r="N51" s="33">
        <v>30</v>
      </c>
      <c r="O51" s="33" t="s">
        <v>57</v>
      </c>
      <c r="P51" s="38" t="s">
        <v>64</v>
      </c>
      <c r="Q51" s="39" t="s">
        <v>59</v>
      </c>
      <c r="R51" s="39" t="s">
        <v>60</v>
      </c>
      <c r="S51" s="40">
        <v>7227.3</v>
      </c>
      <c r="T51" s="40">
        <v>0</v>
      </c>
      <c r="U51" s="40">
        <f t="shared" si="0"/>
        <v>7227.3</v>
      </c>
      <c r="V51" s="40">
        <v>672</v>
      </c>
      <c r="W51" s="40">
        <v>402</v>
      </c>
      <c r="X51" s="40">
        <v>219.12</v>
      </c>
      <c r="Y51" s="40">
        <v>0</v>
      </c>
      <c r="Z51" s="40">
        <f t="shared" si="14"/>
        <v>1116.963</v>
      </c>
      <c r="AA51" s="40">
        <f t="shared" si="1"/>
        <v>223.39259999999999</v>
      </c>
      <c r="AB51" s="41">
        <v>539.72</v>
      </c>
      <c r="AC51" s="40">
        <f t="shared" si="2"/>
        <v>148.92840000000001</v>
      </c>
      <c r="AD51" s="40">
        <f t="shared" si="3"/>
        <v>3613.65</v>
      </c>
      <c r="AE51" s="42">
        <v>375</v>
      </c>
      <c r="AF51" s="42">
        <v>70.099999999999994</v>
      </c>
      <c r="AG51" s="40">
        <f t="shared" si="15"/>
        <v>66.765000000000001</v>
      </c>
      <c r="AH51" s="40">
        <f t="shared" si="4"/>
        <v>13.353</v>
      </c>
      <c r="AI51" s="40">
        <f t="shared" si="5"/>
        <v>44.678519999999999</v>
      </c>
      <c r="AJ51" s="40">
        <f t="shared" si="6"/>
        <v>8.902000000000001</v>
      </c>
      <c r="AK51" s="42">
        <f t="shared" si="7"/>
        <v>21.588800000000003</v>
      </c>
      <c r="AL51" s="42">
        <f t="shared" si="7"/>
        <v>5.9571360000000002</v>
      </c>
      <c r="AM51" s="42">
        <v>0</v>
      </c>
      <c r="AN51" s="42">
        <f t="shared" si="8"/>
        <v>62.5</v>
      </c>
      <c r="AO51" s="42">
        <f t="shared" si="9"/>
        <v>187.5</v>
      </c>
      <c r="AP51" s="42">
        <f t="shared" si="10"/>
        <v>625</v>
      </c>
      <c r="AQ51" s="42">
        <f t="shared" si="11"/>
        <v>8151.1334720000004</v>
      </c>
      <c r="AR51" s="40">
        <f t="shared" si="12"/>
        <v>1204.55</v>
      </c>
      <c r="AS51" s="40">
        <f t="shared" si="13"/>
        <v>12045.5</v>
      </c>
      <c r="AT51" s="40">
        <v>7200</v>
      </c>
      <c r="AU51" s="40">
        <f t="shared" si="16"/>
        <v>158807.92147199999</v>
      </c>
      <c r="AV51" s="45"/>
      <c r="AW51" s="29"/>
      <c r="AX51" s="29"/>
      <c r="AY51" s="29"/>
      <c r="AZ51" s="29"/>
      <c r="BA51" s="30"/>
      <c r="BB51" s="30"/>
      <c r="BC51" s="30"/>
      <c r="BD51" s="30"/>
    </row>
    <row r="52" spans="2:56" ht="18" x14ac:dyDescent="0.25">
      <c r="B52" s="32">
        <v>48</v>
      </c>
      <c r="C52" s="33">
        <v>10</v>
      </c>
      <c r="D52" s="33">
        <v>1</v>
      </c>
      <c r="E52" s="32">
        <v>20</v>
      </c>
      <c r="F52" s="32">
        <v>48</v>
      </c>
      <c r="G52" s="32">
        <v>270</v>
      </c>
      <c r="H52" s="32"/>
      <c r="I52" s="34" t="s">
        <v>185</v>
      </c>
      <c r="J52" s="35" t="s">
        <v>186</v>
      </c>
      <c r="K52" s="37">
        <f>2014-2000</f>
        <v>14</v>
      </c>
      <c r="L52" s="33" t="s">
        <v>56</v>
      </c>
      <c r="M52" s="33">
        <v>6</v>
      </c>
      <c r="N52" s="33">
        <v>30</v>
      </c>
      <c r="O52" s="33" t="s">
        <v>57</v>
      </c>
      <c r="P52" s="38" t="s">
        <v>58</v>
      </c>
      <c r="Q52" s="39" t="s">
        <v>59</v>
      </c>
      <c r="R52" s="39" t="s">
        <v>60</v>
      </c>
      <c r="S52" s="40">
        <v>8051.1</v>
      </c>
      <c r="T52" s="40">
        <v>0</v>
      </c>
      <c r="U52" s="40">
        <f t="shared" si="0"/>
        <v>8051.1</v>
      </c>
      <c r="V52" s="40">
        <v>767</v>
      </c>
      <c r="W52" s="40">
        <v>513</v>
      </c>
      <c r="X52" s="40">
        <v>365.2</v>
      </c>
      <c r="Y52" s="40">
        <f>U52/30*25%*52</f>
        <v>3488.81</v>
      </c>
      <c r="Z52" s="40">
        <f t="shared" si="14"/>
        <v>1262.4450000000002</v>
      </c>
      <c r="AA52" s="40">
        <f t="shared" si="1"/>
        <v>252.48900000000003</v>
      </c>
      <c r="AB52" s="41">
        <v>565.1</v>
      </c>
      <c r="AC52" s="40">
        <f t="shared" si="2"/>
        <v>168.32600000000002</v>
      </c>
      <c r="AD52" s="40">
        <f t="shared" si="3"/>
        <v>4025.55</v>
      </c>
      <c r="AE52" s="42">
        <v>388</v>
      </c>
      <c r="AF52" s="42">
        <v>70.099999999999994</v>
      </c>
      <c r="AG52" s="40">
        <f t="shared" si="15"/>
        <v>68.715000000000003</v>
      </c>
      <c r="AH52" s="40">
        <f t="shared" si="4"/>
        <v>13.743</v>
      </c>
      <c r="AI52" s="40">
        <f t="shared" si="5"/>
        <v>50.497800000000005</v>
      </c>
      <c r="AJ52" s="40">
        <f t="shared" si="6"/>
        <v>9.1620000000000008</v>
      </c>
      <c r="AK52" s="42">
        <f t="shared" si="7"/>
        <v>22.604000000000003</v>
      </c>
      <c r="AL52" s="42">
        <f t="shared" si="7"/>
        <v>6.7330400000000008</v>
      </c>
      <c r="AM52" s="42">
        <f>U52*6.58%</f>
        <v>529.76238000000001</v>
      </c>
      <c r="AN52" s="42">
        <f t="shared" si="8"/>
        <v>64.666666666666671</v>
      </c>
      <c r="AO52" s="42">
        <f t="shared" si="9"/>
        <v>194</v>
      </c>
      <c r="AP52" s="42">
        <f t="shared" si="10"/>
        <v>646.66666666666663</v>
      </c>
      <c r="AQ52" s="42">
        <f t="shared" si="11"/>
        <v>8989.7537933333333</v>
      </c>
      <c r="AR52" s="40">
        <f t="shared" si="12"/>
        <v>1341.85</v>
      </c>
      <c r="AS52" s="40">
        <f t="shared" si="13"/>
        <v>13418.5</v>
      </c>
      <c r="AT52" s="40">
        <v>7200</v>
      </c>
      <c r="AU52" s="40">
        <f t="shared" si="16"/>
        <v>181800.38379333331</v>
      </c>
      <c r="AV52" s="51"/>
      <c r="AW52" s="46"/>
      <c r="AX52" s="46"/>
      <c r="AY52" s="29"/>
      <c r="AZ52" s="29"/>
      <c r="BA52" s="30"/>
      <c r="BB52" s="30"/>
      <c r="BC52" s="30"/>
      <c r="BD52" s="30"/>
    </row>
    <row r="53" spans="2:56" ht="18" x14ac:dyDescent="0.25">
      <c r="B53" s="32">
        <v>49</v>
      </c>
      <c r="C53" s="33">
        <v>10</v>
      </c>
      <c r="D53" s="33">
        <v>1</v>
      </c>
      <c r="E53" s="32">
        <v>20</v>
      </c>
      <c r="F53" s="32">
        <v>49</v>
      </c>
      <c r="G53" s="32">
        <v>270</v>
      </c>
      <c r="H53" s="32"/>
      <c r="I53" s="34" t="s">
        <v>187</v>
      </c>
      <c r="J53" s="35" t="s">
        <v>188</v>
      </c>
      <c r="K53" s="37">
        <f>2014-1992</f>
        <v>22</v>
      </c>
      <c r="L53" s="33" t="s">
        <v>63</v>
      </c>
      <c r="M53" s="33">
        <v>7</v>
      </c>
      <c r="N53" s="33">
        <v>40</v>
      </c>
      <c r="O53" s="33" t="s">
        <v>57</v>
      </c>
      <c r="P53" s="38" t="s">
        <v>120</v>
      </c>
      <c r="Q53" s="39" t="s">
        <v>121</v>
      </c>
      <c r="R53" s="39" t="s">
        <v>74</v>
      </c>
      <c r="S53" s="40">
        <v>10797.6</v>
      </c>
      <c r="T53" s="40">
        <v>0</v>
      </c>
      <c r="U53" s="40">
        <f t="shared" si="0"/>
        <v>10797.6</v>
      </c>
      <c r="V53" s="40">
        <v>1006</v>
      </c>
      <c r="W53" s="40">
        <v>680</v>
      </c>
      <c r="X53" s="40">
        <v>438</v>
      </c>
      <c r="Y53" s="40">
        <v>0</v>
      </c>
      <c r="Z53" s="40">
        <f t="shared" si="14"/>
        <v>1685.34</v>
      </c>
      <c r="AA53" s="40">
        <f t="shared" si="1"/>
        <v>337.06799999999998</v>
      </c>
      <c r="AB53" s="41">
        <v>646.09</v>
      </c>
      <c r="AC53" s="40">
        <f t="shared" si="2"/>
        <v>224.71200000000002</v>
      </c>
      <c r="AD53" s="40">
        <f t="shared" si="3"/>
        <v>5398.8</v>
      </c>
      <c r="AE53" s="42">
        <v>450</v>
      </c>
      <c r="AF53" s="42">
        <v>70.099999999999994</v>
      </c>
      <c r="AG53" s="40">
        <f t="shared" si="15"/>
        <v>78.015000000000001</v>
      </c>
      <c r="AH53" s="40">
        <f t="shared" si="4"/>
        <v>15.603</v>
      </c>
      <c r="AI53" s="40">
        <f t="shared" si="5"/>
        <v>67.413600000000002</v>
      </c>
      <c r="AJ53" s="40">
        <f t="shared" si="6"/>
        <v>10.402000000000001</v>
      </c>
      <c r="AK53" s="42">
        <f t="shared" si="7"/>
        <v>25.843600000000002</v>
      </c>
      <c r="AL53" s="42">
        <f t="shared" si="7"/>
        <v>8.9884800000000009</v>
      </c>
      <c r="AM53" s="42">
        <v>0</v>
      </c>
      <c r="AN53" s="42">
        <f t="shared" si="8"/>
        <v>75</v>
      </c>
      <c r="AO53" s="42">
        <f t="shared" si="9"/>
        <v>225</v>
      </c>
      <c r="AP53" s="42">
        <f t="shared" si="10"/>
        <v>750</v>
      </c>
      <c r="AQ53" s="42">
        <f t="shared" si="11"/>
        <v>9766.3881600000004</v>
      </c>
      <c r="AR53" s="40">
        <f t="shared" si="12"/>
        <v>1799.6000000000001</v>
      </c>
      <c r="AS53" s="40">
        <f t="shared" si="13"/>
        <v>17996</v>
      </c>
      <c r="AT53" s="40">
        <v>7200</v>
      </c>
      <c r="AU53" s="40">
        <f t="shared" si="16"/>
        <v>231938.50816</v>
      </c>
      <c r="AV53" s="45"/>
      <c r="AW53" s="29"/>
      <c r="AX53" s="29"/>
      <c r="AY53" s="29"/>
      <c r="AZ53" s="29"/>
      <c r="BA53" s="30"/>
      <c r="BB53" s="30"/>
      <c r="BC53" s="30"/>
      <c r="BD53" s="30"/>
    </row>
    <row r="54" spans="2:56" ht="18" x14ac:dyDescent="0.25">
      <c r="B54" s="32">
        <v>50</v>
      </c>
      <c r="C54" s="33">
        <v>10</v>
      </c>
      <c r="D54" s="33">
        <v>1</v>
      </c>
      <c r="E54" s="32">
        <v>20</v>
      </c>
      <c r="F54" s="32">
        <v>50</v>
      </c>
      <c r="G54" s="32">
        <v>270</v>
      </c>
      <c r="H54" s="32"/>
      <c r="I54" s="34" t="s">
        <v>189</v>
      </c>
      <c r="J54" s="35" t="s">
        <v>190</v>
      </c>
      <c r="K54" s="37">
        <f>2014-1989</f>
        <v>25</v>
      </c>
      <c r="L54" s="33" t="s">
        <v>63</v>
      </c>
      <c r="M54" s="33">
        <v>4</v>
      </c>
      <c r="N54" s="33">
        <v>30</v>
      </c>
      <c r="O54" s="33" t="s">
        <v>57</v>
      </c>
      <c r="P54" s="38" t="s">
        <v>68</v>
      </c>
      <c r="Q54" s="39" t="s">
        <v>59</v>
      </c>
      <c r="R54" s="39" t="s">
        <v>60</v>
      </c>
      <c r="S54" s="40">
        <v>7491</v>
      </c>
      <c r="T54" s="40">
        <v>0</v>
      </c>
      <c r="U54" s="40">
        <f t="shared" si="0"/>
        <v>7491</v>
      </c>
      <c r="V54" s="40">
        <v>682</v>
      </c>
      <c r="W54" s="40">
        <v>412</v>
      </c>
      <c r="X54" s="40">
        <v>511.28</v>
      </c>
      <c r="Y54" s="40">
        <v>0</v>
      </c>
      <c r="Z54" s="40">
        <f t="shared" si="14"/>
        <v>1200.3419999999999</v>
      </c>
      <c r="AA54" s="40">
        <f t="shared" si="1"/>
        <v>240.0684</v>
      </c>
      <c r="AB54" s="41">
        <v>548.09</v>
      </c>
      <c r="AC54" s="40">
        <f t="shared" si="2"/>
        <v>160.04560000000001</v>
      </c>
      <c r="AD54" s="40">
        <f t="shared" si="3"/>
        <v>3745.5</v>
      </c>
      <c r="AE54" s="42">
        <v>375</v>
      </c>
      <c r="AF54" s="42">
        <v>0</v>
      </c>
      <c r="AG54" s="40">
        <f t="shared" si="15"/>
        <v>56.25</v>
      </c>
      <c r="AH54" s="40">
        <f t="shared" si="4"/>
        <v>11.25</v>
      </c>
      <c r="AI54" s="40">
        <f t="shared" si="5"/>
        <v>48.013679999999994</v>
      </c>
      <c r="AJ54" s="40">
        <f t="shared" si="6"/>
        <v>7.5</v>
      </c>
      <c r="AK54" s="42">
        <f t="shared" si="7"/>
        <v>21.9236</v>
      </c>
      <c r="AL54" s="42">
        <f t="shared" si="7"/>
        <v>6.4018240000000004</v>
      </c>
      <c r="AM54" s="42">
        <v>0</v>
      </c>
      <c r="AN54" s="42">
        <f t="shared" si="8"/>
        <v>62.5</v>
      </c>
      <c r="AO54" s="42">
        <f t="shared" si="9"/>
        <v>187.5</v>
      </c>
      <c r="AP54" s="42">
        <f t="shared" si="10"/>
        <v>625</v>
      </c>
      <c r="AQ54" s="42">
        <f t="shared" si="11"/>
        <v>7191.0692479999998</v>
      </c>
      <c r="AR54" s="40">
        <f t="shared" si="12"/>
        <v>1248.5</v>
      </c>
      <c r="AS54" s="40">
        <f t="shared" si="13"/>
        <v>12485</v>
      </c>
      <c r="AT54" s="40">
        <v>7200</v>
      </c>
      <c r="AU54" s="40">
        <f t="shared" si="16"/>
        <v>166807.981248</v>
      </c>
      <c r="AV54" s="45"/>
      <c r="AW54" s="29"/>
      <c r="AX54" s="29"/>
      <c r="AY54" s="29"/>
      <c r="AZ54" s="29"/>
      <c r="BA54" s="30"/>
      <c r="BB54" s="30"/>
      <c r="BC54" s="30"/>
      <c r="BD54" s="30"/>
    </row>
    <row r="55" spans="2:56" ht="18" x14ac:dyDescent="0.25">
      <c r="B55" s="32">
        <v>51</v>
      </c>
      <c r="C55" s="33">
        <v>10</v>
      </c>
      <c r="D55" s="33">
        <v>1</v>
      </c>
      <c r="E55" s="32">
        <v>20</v>
      </c>
      <c r="F55" s="32">
        <v>51</v>
      </c>
      <c r="G55" s="32">
        <v>270</v>
      </c>
      <c r="H55" s="32"/>
      <c r="I55" s="34" t="s">
        <v>191</v>
      </c>
      <c r="J55" s="35" t="s">
        <v>192</v>
      </c>
      <c r="K55" s="37">
        <f>2014-1998</f>
        <v>16</v>
      </c>
      <c r="L55" s="33" t="s">
        <v>63</v>
      </c>
      <c r="M55" s="33">
        <v>8</v>
      </c>
      <c r="N55" s="33">
        <v>40</v>
      </c>
      <c r="O55" s="33" t="s">
        <v>57</v>
      </c>
      <c r="P55" s="38" t="s">
        <v>193</v>
      </c>
      <c r="Q55" s="39" t="s">
        <v>59</v>
      </c>
      <c r="R55" s="39" t="s">
        <v>60</v>
      </c>
      <c r="S55" s="40">
        <v>11272.5</v>
      </c>
      <c r="T55" s="40">
        <v>0</v>
      </c>
      <c r="U55" s="40">
        <f t="shared" si="0"/>
        <v>11272.5</v>
      </c>
      <c r="V55" s="40">
        <v>1021</v>
      </c>
      <c r="W55" s="40">
        <v>695</v>
      </c>
      <c r="X55" s="40">
        <v>365.2</v>
      </c>
      <c r="Y55" s="40">
        <v>0</v>
      </c>
      <c r="Z55" s="40">
        <f t="shared" si="14"/>
        <v>1745.655</v>
      </c>
      <c r="AA55" s="40">
        <f t="shared" si="1"/>
        <v>349.13100000000003</v>
      </c>
      <c r="AB55" s="41">
        <v>659.29</v>
      </c>
      <c r="AC55" s="40">
        <f t="shared" si="2"/>
        <v>232.75400000000002</v>
      </c>
      <c r="AD55" s="40">
        <f t="shared" si="3"/>
        <v>5636.25</v>
      </c>
      <c r="AE55" s="42">
        <v>450</v>
      </c>
      <c r="AF55" s="42">
        <v>70.099999999999994</v>
      </c>
      <c r="AG55" s="40">
        <f t="shared" si="15"/>
        <v>78.015000000000001</v>
      </c>
      <c r="AH55" s="40">
        <f t="shared" si="4"/>
        <v>15.603</v>
      </c>
      <c r="AI55" s="40">
        <f t="shared" si="5"/>
        <v>69.8262</v>
      </c>
      <c r="AJ55" s="40">
        <f t="shared" si="6"/>
        <v>10.402000000000001</v>
      </c>
      <c r="AK55" s="42">
        <f t="shared" si="7"/>
        <v>26.371600000000001</v>
      </c>
      <c r="AL55" s="42">
        <f t="shared" si="7"/>
        <v>9.3101600000000015</v>
      </c>
      <c r="AM55" s="42">
        <v>0</v>
      </c>
      <c r="AN55" s="42">
        <f t="shared" si="8"/>
        <v>75</v>
      </c>
      <c r="AO55" s="42">
        <f t="shared" si="9"/>
        <v>225</v>
      </c>
      <c r="AP55" s="42">
        <f t="shared" si="10"/>
        <v>750</v>
      </c>
      <c r="AQ55" s="42">
        <f t="shared" si="11"/>
        <v>9805.5355200000013</v>
      </c>
      <c r="AR55" s="40">
        <f t="shared" si="12"/>
        <v>1878.75</v>
      </c>
      <c r="AS55" s="40">
        <f t="shared" si="13"/>
        <v>18787.5</v>
      </c>
      <c r="AT55" s="40">
        <v>7200</v>
      </c>
      <c r="AU55" s="40">
        <f t="shared" si="16"/>
        <v>239394.39552000005</v>
      </c>
      <c r="AV55" s="45"/>
      <c r="AW55" s="29"/>
      <c r="AX55" s="29"/>
      <c r="AY55" s="29"/>
      <c r="AZ55" s="29"/>
      <c r="BA55" s="30"/>
      <c r="BB55" s="30"/>
      <c r="BC55" s="30"/>
      <c r="BD55" s="30"/>
    </row>
    <row r="56" spans="2:56" ht="18" x14ac:dyDescent="0.25">
      <c r="B56" s="32">
        <v>52</v>
      </c>
      <c r="C56" s="33">
        <v>10</v>
      </c>
      <c r="D56" s="33">
        <v>1</v>
      </c>
      <c r="E56" s="32">
        <v>20</v>
      </c>
      <c r="F56" s="32">
        <v>52</v>
      </c>
      <c r="G56" s="32">
        <v>270</v>
      </c>
      <c r="H56" s="32"/>
      <c r="I56" s="34" t="s">
        <v>194</v>
      </c>
      <c r="J56" s="35" t="s">
        <v>195</v>
      </c>
      <c r="K56" s="37">
        <f>2014-2007</f>
        <v>7</v>
      </c>
      <c r="L56" s="33" t="s">
        <v>56</v>
      </c>
      <c r="M56" s="33">
        <v>3</v>
      </c>
      <c r="N56" s="33">
        <v>30</v>
      </c>
      <c r="O56" s="33" t="s">
        <v>57</v>
      </c>
      <c r="P56" s="38" t="s">
        <v>64</v>
      </c>
      <c r="Q56" s="39" t="s">
        <v>65</v>
      </c>
      <c r="R56" s="39" t="s">
        <v>60</v>
      </c>
      <c r="S56" s="40">
        <v>7227.3</v>
      </c>
      <c r="T56" s="40">
        <v>0</v>
      </c>
      <c r="U56" s="40">
        <f t="shared" si="0"/>
        <v>7227.3</v>
      </c>
      <c r="V56" s="40">
        <v>672</v>
      </c>
      <c r="W56" s="40">
        <v>402</v>
      </c>
      <c r="X56" s="40">
        <v>219.12</v>
      </c>
      <c r="Y56" s="40">
        <v>0</v>
      </c>
      <c r="Z56" s="40">
        <f t="shared" si="14"/>
        <v>1116.963</v>
      </c>
      <c r="AA56" s="40">
        <f t="shared" si="1"/>
        <v>223.39259999999999</v>
      </c>
      <c r="AB56" s="41">
        <v>540.11</v>
      </c>
      <c r="AC56" s="40">
        <f t="shared" si="2"/>
        <v>148.92840000000001</v>
      </c>
      <c r="AD56" s="40">
        <f t="shared" si="3"/>
        <v>3613.65</v>
      </c>
      <c r="AE56" s="42">
        <v>375</v>
      </c>
      <c r="AF56" s="42">
        <v>0</v>
      </c>
      <c r="AG56" s="40">
        <f t="shared" si="15"/>
        <v>56.25</v>
      </c>
      <c r="AH56" s="40">
        <f t="shared" si="4"/>
        <v>11.25</v>
      </c>
      <c r="AI56" s="40">
        <f t="shared" si="5"/>
        <v>44.678519999999999</v>
      </c>
      <c r="AJ56" s="40">
        <f t="shared" si="6"/>
        <v>7.5</v>
      </c>
      <c r="AK56" s="42">
        <f t="shared" si="7"/>
        <v>21.604400000000002</v>
      </c>
      <c r="AL56" s="42">
        <f t="shared" si="7"/>
        <v>5.9571360000000002</v>
      </c>
      <c r="AM56" s="42">
        <v>0</v>
      </c>
      <c r="AN56" s="42">
        <f t="shared" si="8"/>
        <v>62.5</v>
      </c>
      <c r="AO56" s="42">
        <f t="shared" si="9"/>
        <v>187.5</v>
      </c>
      <c r="AP56" s="42">
        <f t="shared" si="10"/>
        <v>625</v>
      </c>
      <c r="AQ56" s="42">
        <f t="shared" si="11"/>
        <v>7141.8806719999993</v>
      </c>
      <c r="AR56" s="40">
        <f t="shared" si="12"/>
        <v>1204.55</v>
      </c>
      <c r="AS56" s="40">
        <f t="shared" si="13"/>
        <v>12045.5</v>
      </c>
      <c r="AT56" s="40">
        <v>7200</v>
      </c>
      <c r="AU56" s="40">
        <f t="shared" si="16"/>
        <v>157803.34867200002</v>
      </c>
      <c r="AV56" s="45"/>
      <c r="AW56" s="29"/>
      <c r="AX56" s="29"/>
      <c r="AY56" s="29"/>
      <c r="AZ56" s="29"/>
      <c r="BA56" s="30"/>
      <c r="BB56" s="30"/>
      <c r="BC56" s="30"/>
      <c r="BD56" s="30"/>
    </row>
    <row r="57" spans="2:56" ht="18" x14ac:dyDescent="0.25">
      <c r="B57" s="32">
        <v>53</v>
      </c>
      <c r="C57" s="33">
        <v>10</v>
      </c>
      <c r="D57" s="33">
        <v>1</v>
      </c>
      <c r="E57" s="32">
        <v>20</v>
      </c>
      <c r="F57" s="32">
        <v>53</v>
      </c>
      <c r="G57" s="32">
        <v>270</v>
      </c>
      <c r="H57" s="32"/>
      <c r="I57" s="34" t="s">
        <v>196</v>
      </c>
      <c r="J57" s="35" t="s">
        <v>197</v>
      </c>
      <c r="K57" s="37">
        <f>2014-1988</f>
        <v>26</v>
      </c>
      <c r="L57" s="33" t="s">
        <v>63</v>
      </c>
      <c r="M57" s="33">
        <v>3</v>
      </c>
      <c r="N57" s="33">
        <v>30</v>
      </c>
      <c r="O57" s="33" t="s">
        <v>57</v>
      </c>
      <c r="P57" s="38" t="s">
        <v>64</v>
      </c>
      <c r="Q57" s="39" t="s">
        <v>65</v>
      </c>
      <c r="R57" s="39" t="s">
        <v>60</v>
      </c>
      <c r="S57" s="40">
        <v>7227.3</v>
      </c>
      <c r="T57" s="40">
        <v>0</v>
      </c>
      <c r="U57" s="40">
        <f t="shared" si="0"/>
        <v>7227.3</v>
      </c>
      <c r="V57" s="40">
        <v>672</v>
      </c>
      <c r="W57" s="40">
        <v>402</v>
      </c>
      <c r="X57" s="40">
        <v>511.28</v>
      </c>
      <c r="Y57" s="40">
        <v>0</v>
      </c>
      <c r="Z57" s="40">
        <f t="shared" si="14"/>
        <v>1160.787</v>
      </c>
      <c r="AA57" s="40">
        <f t="shared" si="1"/>
        <v>232.1574</v>
      </c>
      <c r="AB57" s="41">
        <v>540.65</v>
      </c>
      <c r="AC57" s="40">
        <f t="shared" si="2"/>
        <v>154.77160000000001</v>
      </c>
      <c r="AD57" s="40">
        <f t="shared" si="3"/>
        <v>3613.65</v>
      </c>
      <c r="AE57" s="42">
        <v>375</v>
      </c>
      <c r="AF57" s="42">
        <v>0</v>
      </c>
      <c r="AG57" s="40">
        <f t="shared" si="15"/>
        <v>56.25</v>
      </c>
      <c r="AH57" s="40">
        <f t="shared" si="4"/>
        <v>11.25</v>
      </c>
      <c r="AI57" s="40">
        <f t="shared" si="5"/>
        <v>46.431480000000001</v>
      </c>
      <c r="AJ57" s="40">
        <f t="shared" si="6"/>
        <v>7.5</v>
      </c>
      <c r="AK57" s="42">
        <f t="shared" si="7"/>
        <v>21.626000000000001</v>
      </c>
      <c r="AL57" s="42">
        <f t="shared" si="7"/>
        <v>6.1908640000000004</v>
      </c>
      <c r="AM57" s="42">
        <v>0</v>
      </c>
      <c r="AN57" s="42">
        <f t="shared" si="8"/>
        <v>62.5</v>
      </c>
      <c r="AO57" s="42">
        <f t="shared" si="9"/>
        <v>187.5</v>
      </c>
      <c r="AP57" s="42">
        <f t="shared" si="10"/>
        <v>625</v>
      </c>
      <c r="AQ57" s="42">
        <f t="shared" si="11"/>
        <v>7165.9801280000011</v>
      </c>
      <c r="AR57" s="40">
        <f t="shared" si="12"/>
        <v>1204.55</v>
      </c>
      <c r="AS57" s="40">
        <f t="shared" si="13"/>
        <v>12045.5</v>
      </c>
      <c r="AT57" s="40">
        <v>7200</v>
      </c>
      <c r="AU57" s="40">
        <f t="shared" si="16"/>
        <v>162041.03212799999</v>
      </c>
      <c r="AV57" s="49"/>
      <c r="AW57" s="29"/>
      <c r="AX57" s="29"/>
      <c r="AY57" s="29"/>
      <c r="AZ57" s="29"/>
      <c r="BA57" s="30"/>
      <c r="BB57" s="30"/>
      <c r="BC57" s="30"/>
      <c r="BD57" s="30"/>
    </row>
    <row r="58" spans="2:56" ht="18" x14ac:dyDescent="0.25">
      <c r="B58" s="32">
        <v>54</v>
      </c>
      <c r="C58" s="33">
        <v>10</v>
      </c>
      <c r="D58" s="33">
        <v>1</v>
      </c>
      <c r="E58" s="32">
        <v>20</v>
      </c>
      <c r="F58" s="32">
        <v>54</v>
      </c>
      <c r="G58" s="32">
        <v>270</v>
      </c>
      <c r="H58" s="32"/>
      <c r="I58" s="34" t="s">
        <v>198</v>
      </c>
      <c r="J58" s="35" t="s">
        <v>199</v>
      </c>
      <c r="K58" s="37">
        <f>2014-2002</f>
        <v>12</v>
      </c>
      <c r="L58" s="33" t="s">
        <v>63</v>
      </c>
      <c r="M58" s="33">
        <v>4</v>
      </c>
      <c r="N58" s="33">
        <v>30</v>
      </c>
      <c r="O58" s="33" t="s">
        <v>57</v>
      </c>
      <c r="P58" s="38" t="s">
        <v>68</v>
      </c>
      <c r="Q58" s="39" t="s">
        <v>59</v>
      </c>
      <c r="R58" s="39" t="s">
        <v>60</v>
      </c>
      <c r="S58" s="40">
        <v>7491</v>
      </c>
      <c r="T58" s="40">
        <v>0</v>
      </c>
      <c r="U58" s="40">
        <f t="shared" si="0"/>
        <v>7491</v>
      </c>
      <c r="V58" s="40">
        <v>682</v>
      </c>
      <c r="W58" s="40">
        <v>412</v>
      </c>
      <c r="X58" s="40">
        <v>292.16000000000003</v>
      </c>
      <c r="Y58" s="40">
        <v>0</v>
      </c>
      <c r="Z58" s="40">
        <f t="shared" si="14"/>
        <v>1167.4739999999999</v>
      </c>
      <c r="AA58" s="40">
        <f t="shared" si="1"/>
        <v>233.4948</v>
      </c>
      <c r="AB58" s="41">
        <v>547.69000000000005</v>
      </c>
      <c r="AC58" s="40">
        <f t="shared" si="2"/>
        <v>155.66319999999999</v>
      </c>
      <c r="AD58" s="40">
        <f t="shared" si="3"/>
        <v>3745.5</v>
      </c>
      <c r="AE58" s="42">
        <v>375</v>
      </c>
      <c r="AF58" s="42">
        <v>0</v>
      </c>
      <c r="AG58" s="40">
        <f t="shared" si="15"/>
        <v>56.25</v>
      </c>
      <c r="AH58" s="40">
        <f t="shared" si="4"/>
        <v>11.25</v>
      </c>
      <c r="AI58" s="40">
        <f t="shared" si="5"/>
        <v>46.69896</v>
      </c>
      <c r="AJ58" s="40">
        <f t="shared" si="6"/>
        <v>7.5</v>
      </c>
      <c r="AK58" s="42">
        <f t="shared" si="7"/>
        <v>21.907600000000002</v>
      </c>
      <c r="AL58" s="42">
        <f t="shared" si="7"/>
        <v>6.2265280000000001</v>
      </c>
      <c r="AM58" s="42">
        <v>0</v>
      </c>
      <c r="AN58" s="42">
        <f t="shared" si="8"/>
        <v>62.5</v>
      </c>
      <c r="AO58" s="42">
        <f t="shared" si="9"/>
        <v>187.5</v>
      </c>
      <c r="AP58" s="42">
        <f t="shared" si="10"/>
        <v>625</v>
      </c>
      <c r="AQ58" s="42">
        <f t="shared" si="11"/>
        <v>7172.9970560000002</v>
      </c>
      <c r="AR58" s="40">
        <f t="shared" si="12"/>
        <v>1248.5</v>
      </c>
      <c r="AS58" s="40">
        <f t="shared" si="13"/>
        <v>12485</v>
      </c>
      <c r="AT58" s="40">
        <v>7200</v>
      </c>
      <c r="AU58" s="40">
        <f t="shared" si="16"/>
        <v>163629.78105600001</v>
      </c>
      <c r="AV58" s="51"/>
      <c r="AW58" s="29"/>
      <c r="AX58" s="29"/>
      <c r="AY58" s="29"/>
      <c r="AZ58" s="29"/>
      <c r="BA58" s="30"/>
      <c r="BB58" s="30"/>
      <c r="BC58" s="30"/>
      <c r="BD58" s="30"/>
    </row>
    <row r="59" spans="2:56" ht="18" x14ac:dyDescent="0.25">
      <c r="B59" s="32">
        <v>55</v>
      </c>
      <c r="C59" s="33">
        <v>10</v>
      </c>
      <c r="D59" s="33">
        <v>1</v>
      </c>
      <c r="E59" s="32">
        <v>20</v>
      </c>
      <c r="F59" s="32">
        <v>55</v>
      </c>
      <c r="G59" s="32">
        <v>270</v>
      </c>
      <c r="H59" s="32"/>
      <c r="I59" s="34" t="s">
        <v>200</v>
      </c>
      <c r="J59" s="35" t="s">
        <v>201</v>
      </c>
      <c r="K59" s="37">
        <f>2014-2008</f>
        <v>6</v>
      </c>
      <c r="L59" s="33" t="s">
        <v>56</v>
      </c>
      <c r="M59" s="33">
        <v>13</v>
      </c>
      <c r="N59" s="33">
        <v>30</v>
      </c>
      <c r="O59" s="33" t="s">
        <v>57</v>
      </c>
      <c r="P59" s="38" t="s">
        <v>130</v>
      </c>
      <c r="Q59" s="39" t="s">
        <v>73</v>
      </c>
      <c r="R59" s="39" t="s">
        <v>74</v>
      </c>
      <c r="S59" s="40">
        <v>10161</v>
      </c>
      <c r="T59" s="40">
        <v>0</v>
      </c>
      <c r="U59" s="40">
        <f t="shared" si="0"/>
        <v>10161</v>
      </c>
      <c r="V59" s="40">
        <f>846+80</f>
        <v>926</v>
      </c>
      <c r="W59" s="40">
        <f>528+50</f>
        <v>578</v>
      </c>
      <c r="X59" s="40">
        <v>219.12</v>
      </c>
      <c r="Y59" s="40">
        <v>0</v>
      </c>
      <c r="Z59" s="40">
        <f t="shared" si="14"/>
        <v>1557.018</v>
      </c>
      <c r="AA59" s="40">
        <f t="shared" si="1"/>
        <v>311.40360000000004</v>
      </c>
      <c r="AB59" s="41">
        <v>626.30999999999995</v>
      </c>
      <c r="AC59" s="40">
        <f t="shared" si="2"/>
        <v>207.60240000000002</v>
      </c>
      <c r="AD59" s="40">
        <f t="shared" si="3"/>
        <v>5080.5</v>
      </c>
      <c r="AE59" s="42">
        <v>300</v>
      </c>
      <c r="AF59" s="42">
        <v>0</v>
      </c>
      <c r="AG59" s="40">
        <f t="shared" si="15"/>
        <v>45</v>
      </c>
      <c r="AH59" s="40">
        <f t="shared" si="4"/>
        <v>9</v>
      </c>
      <c r="AI59" s="40">
        <f t="shared" si="5"/>
        <v>62.280720000000002</v>
      </c>
      <c r="AJ59" s="40">
        <f t="shared" si="6"/>
        <v>6</v>
      </c>
      <c r="AK59" s="42">
        <f t="shared" si="7"/>
        <v>25.052399999999999</v>
      </c>
      <c r="AL59" s="42">
        <f t="shared" si="7"/>
        <v>8.3040960000000013</v>
      </c>
      <c r="AM59" s="42">
        <v>0</v>
      </c>
      <c r="AN59" s="42">
        <f t="shared" si="8"/>
        <v>50</v>
      </c>
      <c r="AO59" s="42">
        <f t="shared" si="9"/>
        <v>150</v>
      </c>
      <c r="AP59" s="42">
        <f t="shared" si="10"/>
        <v>500</v>
      </c>
      <c r="AQ59" s="42">
        <f t="shared" si="11"/>
        <v>6167.6465919999991</v>
      </c>
      <c r="AR59" s="40">
        <f t="shared" si="12"/>
        <v>1693.5</v>
      </c>
      <c r="AS59" s="40">
        <f t="shared" si="13"/>
        <v>16935</v>
      </c>
      <c r="AT59" s="40">
        <v>7200</v>
      </c>
      <c r="AU59" s="40">
        <f t="shared" si="16"/>
        <v>212114.09459200001</v>
      </c>
      <c r="AV59" s="28"/>
      <c r="AW59" s="29"/>
      <c r="AX59" s="29"/>
      <c r="AY59" s="29"/>
      <c r="AZ59" s="29"/>
      <c r="BA59" s="30"/>
      <c r="BB59" s="30"/>
      <c r="BC59" s="30"/>
      <c r="BD59" s="30"/>
    </row>
    <row r="60" spans="2:56" ht="18" x14ac:dyDescent="0.25">
      <c r="B60" s="32">
        <v>56</v>
      </c>
      <c r="C60" s="33">
        <v>10</v>
      </c>
      <c r="D60" s="33">
        <v>1</v>
      </c>
      <c r="E60" s="32">
        <v>20</v>
      </c>
      <c r="F60" s="32">
        <v>56</v>
      </c>
      <c r="G60" s="32">
        <v>270</v>
      </c>
      <c r="H60" s="32"/>
      <c r="I60" s="34" t="s">
        <v>202</v>
      </c>
      <c r="J60" s="35" t="s">
        <v>203</v>
      </c>
      <c r="K60" s="37">
        <f>2014-2006</f>
        <v>8</v>
      </c>
      <c r="L60" s="33" t="s">
        <v>56</v>
      </c>
      <c r="M60" s="33">
        <v>3</v>
      </c>
      <c r="N60" s="33">
        <v>30</v>
      </c>
      <c r="O60" s="33" t="s">
        <v>57</v>
      </c>
      <c r="P60" s="38" t="s">
        <v>64</v>
      </c>
      <c r="Q60" s="39" t="s">
        <v>65</v>
      </c>
      <c r="R60" s="39" t="s">
        <v>60</v>
      </c>
      <c r="S60" s="40">
        <v>7227.3</v>
      </c>
      <c r="T60" s="40">
        <v>0</v>
      </c>
      <c r="U60" s="40">
        <f t="shared" si="0"/>
        <v>7227.3</v>
      </c>
      <c r="V60" s="40">
        <v>672</v>
      </c>
      <c r="W60" s="40">
        <v>402</v>
      </c>
      <c r="X60" s="40">
        <v>219.12</v>
      </c>
      <c r="Y60" s="40">
        <v>0</v>
      </c>
      <c r="Z60" s="40">
        <f t="shared" si="14"/>
        <v>1116.963</v>
      </c>
      <c r="AA60" s="40">
        <f t="shared" si="1"/>
        <v>223.39259999999999</v>
      </c>
      <c r="AB60" s="41">
        <v>540.11</v>
      </c>
      <c r="AC60" s="40">
        <f t="shared" si="2"/>
        <v>148.92840000000001</v>
      </c>
      <c r="AD60" s="40">
        <f t="shared" si="3"/>
        <v>3613.65</v>
      </c>
      <c r="AE60" s="42">
        <v>375</v>
      </c>
      <c r="AF60" s="42">
        <v>0</v>
      </c>
      <c r="AG60" s="40">
        <f t="shared" si="15"/>
        <v>56.25</v>
      </c>
      <c r="AH60" s="40">
        <f t="shared" si="4"/>
        <v>11.25</v>
      </c>
      <c r="AI60" s="40">
        <f t="shared" si="5"/>
        <v>44.678519999999999</v>
      </c>
      <c r="AJ60" s="40">
        <f t="shared" si="6"/>
        <v>7.5</v>
      </c>
      <c r="AK60" s="42">
        <f t="shared" si="7"/>
        <v>21.604400000000002</v>
      </c>
      <c r="AL60" s="42">
        <f t="shared" si="7"/>
        <v>5.9571360000000002</v>
      </c>
      <c r="AM60" s="42">
        <v>0</v>
      </c>
      <c r="AN60" s="42">
        <f t="shared" si="8"/>
        <v>62.5</v>
      </c>
      <c r="AO60" s="42">
        <f t="shared" si="9"/>
        <v>187.5</v>
      </c>
      <c r="AP60" s="42">
        <f t="shared" si="10"/>
        <v>625</v>
      </c>
      <c r="AQ60" s="42">
        <f t="shared" si="11"/>
        <v>7141.8806719999993</v>
      </c>
      <c r="AR60" s="40">
        <f t="shared" si="12"/>
        <v>1204.55</v>
      </c>
      <c r="AS60" s="40">
        <f t="shared" si="13"/>
        <v>12045.5</v>
      </c>
      <c r="AT60" s="40">
        <v>7200</v>
      </c>
      <c r="AU60" s="40">
        <f t="shared" si="16"/>
        <v>157803.34867200002</v>
      </c>
      <c r="AV60" s="28"/>
      <c r="AW60" s="29"/>
      <c r="AX60" s="29"/>
      <c r="AY60" s="29"/>
      <c r="AZ60" s="29"/>
      <c r="BA60" s="30"/>
      <c r="BB60" s="30"/>
      <c r="BC60" s="30"/>
      <c r="BD60" s="30"/>
    </row>
    <row r="61" spans="2:56" ht="18" x14ac:dyDescent="0.25">
      <c r="B61" s="32">
        <v>57</v>
      </c>
      <c r="C61" s="33">
        <v>10</v>
      </c>
      <c r="D61" s="33">
        <v>1</v>
      </c>
      <c r="E61" s="32">
        <v>20</v>
      </c>
      <c r="F61" s="32">
        <v>57</v>
      </c>
      <c r="G61" s="32">
        <v>270</v>
      </c>
      <c r="H61" s="32"/>
      <c r="I61" s="34" t="s">
        <v>204</v>
      </c>
      <c r="J61" s="35" t="s">
        <v>205</v>
      </c>
      <c r="K61" s="37">
        <f>2014-1999</f>
        <v>15</v>
      </c>
      <c r="L61" s="33" t="s">
        <v>63</v>
      </c>
      <c r="M61" s="33">
        <v>4</v>
      </c>
      <c r="N61" s="33">
        <v>30</v>
      </c>
      <c r="O61" s="33" t="s">
        <v>57</v>
      </c>
      <c r="P61" s="38" t="s">
        <v>68</v>
      </c>
      <c r="Q61" s="39" t="s">
        <v>59</v>
      </c>
      <c r="R61" s="39" t="s">
        <v>60</v>
      </c>
      <c r="S61" s="40">
        <v>7491</v>
      </c>
      <c r="T61" s="40">
        <v>0</v>
      </c>
      <c r="U61" s="40">
        <f t="shared" si="0"/>
        <v>7491</v>
      </c>
      <c r="V61" s="40">
        <v>682</v>
      </c>
      <c r="W61" s="40">
        <v>412</v>
      </c>
      <c r="X61" s="40">
        <v>365.2</v>
      </c>
      <c r="Y61" s="40">
        <f>U61/30*25%*52</f>
        <v>3246.1</v>
      </c>
      <c r="Z61" s="40">
        <f t="shared" si="14"/>
        <v>1178.4299999999998</v>
      </c>
      <c r="AA61" s="40">
        <f t="shared" si="1"/>
        <v>235.68599999999998</v>
      </c>
      <c r="AB61" s="41">
        <v>547.83000000000004</v>
      </c>
      <c r="AC61" s="40">
        <f t="shared" si="2"/>
        <v>157.124</v>
      </c>
      <c r="AD61" s="40">
        <f t="shared" si="3"/>
        <v>3745.5</v>
      </c>
      <c r="AE61" s="42">
        <v>375</v>
      </c>
      <c r="AF61" s="42">
        <v>0</v>
      </c>
      <c r="AG61" s="40">
        <f t="shared" si="15"/>
        <v>56.25</v>
      </c>
      <c r="AH61" s="40">
        <f t="shared" si="4"/>
        <v>11.25</v>
      </c>
      <c r="AI61" s="40">
        <f t="shared" si="5"/>
        <v>47.137199999999993</v>
      </c>
      <c r="AJ61" s="40">
        <f t="shared" si="6"/>
        <v>7.5</v>
      </c>
      <c r="AK61" s="42">
        <f t="shared" si="7"/>
        <v>21.913200000000003</v>
      </c>
      <c r="AL61" s="42">
        <f t="shared" si="7"/>
        <v>6.2849599999999999</v>
      </c>
      <c r="AM61" s="42">
        <f>U61*6.58%</f>
        <v>492.90779999999995</v>
      </c>
      <c r="AN61" s="42">
        <f t="shared" si="8"/>
        <v>62.5</v>
      </c>
      <c r="AO61" s="42">
        <f t="shared" si="9"/>
        <v>187.5</v>
      </c>
      <c r="AP61" s="42">
        <f t="shared" si="10"/>
        <v>625</v>
      </c>
      <c r="AQ61" s="42">
        <f t="shared" si="11"/>
        <v>7671.9321199999986</v>
      </c>
      <c r="AR61" s="40">
        <f t="shared" si="12"/>
        <v>1248.5</v>
      </c>
      <c r="AS61" s="40">
        <f t="shared" si="13"/>
        <v>12485</v>
      </c>
      <c r="AT61" s="40">
        <v>7200</v>
      </c>
      <c r="AU61" s="40">
        <f t="shared" si="16"/>
        <v>168428.27211999998</v>
      </c>
      <c r="AV61" s="45"/>
      <c r="AW61" s="29"/>
      <c r="AX61" s="29"/>
      <c r="AY61" s="29"/>
      <c r="AZ61" s="29"/>
      <c r="BA61" s="30"/>
      <c r="BB61" s="30"/>
      <c r="BC61" s="30"/>
      <c r="BD61" s="30"/>
    </row>
    <row r="62" spans="2:56" s="10" customFormat="1" ht="18" x14ac:dyDescent="0.25">
      <c r="B62" s="32">
        <v>58</v>
      </c>
      <c r="C62" s="33">
        <v>10</v>
      </c>
      <c r="D62" s="33">
        <v>1</v>
      </c>
      <c r="E62" s="32">
        <v>20</v>
      </c>
      <c r="F62" s="32">
        <v>58</v>
      </c>
      <c r="G62" s="32">
        <v>270</v>
      </c>
      <c r="H62" s="32"/>
      <c r="I62" s="34" t="s">
        <v>206</v>
      </c>
      <c r="J62" s="35" t="s">
        <v>207</v>
      </c>
      <c r="K62" s="37">
        <f>2014-2007</f>
        <v>7</v>
      </c>
      <c r="L62" s="33" t="s">
        <v>63</v>
      </c>
      <c r="M62" s="33">
        <v>10</v>
      </c>
      <c r="N62" s="33">
        <v>30</v>
      </c>
      <c r="O62" s="33" t="s">
        <v>57</v>
      </c>
      <c r="P62" s="38" t="s">
        <v>208</v>
      </c>
      <c r="Q62" s="39" t="s">
        <v>59</v>
      </c>
      <c r="R62" s="39" t="s">
        <v>60</v>
      </c>
      <c r="S62" s="40">
        <v>9717</v>
      </c>
      <c r="T62" s="40">
        <v>0</v>
      </c>
      <c r="U62" s="40">
        <f t="shared" si="0"/>
        <v>9717</v>
      </c>
      <c r="V62" s="40">
        <f>766+80</f>
        <v>846</v>
      </c>
      <c r="W62" s="40">
        <f>500+50</f>
        <v>550</v>
      </c>
      <c r="X62" s="40">
        <v>219.12</v>
      </c>
      <c r="Y62" s="40">
        <v>0</v>
      </c>
      <c r="Z62" s="40">
        <f t="shared" si="14"/>
        <v>1490.4180000000001</v>
      </c>
      <c r="AA62" s="40">
        <f t="shared" si="1"/>
        <v>298.08359999999999</v>
      </c>
      <c r="AB62" s="41">
        <v>612.75</v>
      </c>
      <c r="AC62" s="40">
        <f t="shared" si="2"/>
        <v>198.72240000000002</v>
      </c>
      <c r="AD62" s="40">
        <f t="shared" si="3"/>
        <v>4858.5</v>
      </c>
      <c r="AE62" s="42">
        <v>300</v>
      </c>
      <c r="AF62" s="42">
        <v>70.099999999999994</v>
      </c>
      <c r="AG62" s="40">
        <f t="shared" si="15"/>
        <v>55.515000000000001</v>
      </c>
      <c r="AH62" s="40">
        <f t="shared" si="4"/>
        <v>11.103</v>
      </c>
      <c r="AI62" s="40">
        <f t="shared" si="5"/>
        <v>59.616720000000008</v>
      </c>
      <c r="AJ62" s="40">
        <f t="shared" si="6"/>
        <v>7.402000000000001</v>
      </c>
      <c r="AK62" s="42">
        <f t="shared" ref="AK62:AL111" si="17">AB62*4%</f>
        <v>24.51</v>
      </c>
      <c r="AL62" s="42">
        <f t="shared" si="17"/>
        <v>7.9488960000000013</v>
      </c>
      <c r="AM62" s="42">
        <v>0</v>
      </c>
      <c r="AN62" s="42">
        <f t="shared" si="8"/>
        <v>50</v>
      </c>
      <c r="AO62" s="42">
        <f t="shared" si="9"/>
        <v>150</v>
      </c>
      <c r="AP62" s="42">
        <f t="shared" si="10"/>
        <v>500</v>
      </c>
      <c r="AQ62" s="42">
        <f t="shared" si="11"/>
        <v>7134.3473919999997</v>
      </c>
      <c r="AR62" s="40">
        <f t="shared" si="12"/>
        <v>1619.5</v>
      </c>
      <c r="AS62" s="40">
        <f t="shared" si="13"/>
        <v>16194.999999999998</v>
      </c>
      <c r="AT62" s="40">
        <v>7200</v>
      </c>
      <c r="AU62" s="40">
        <f t="shared" si="16"/>
        <v>204192.47539200002</v>
      </c>
      <c r="AV62" s="55"/>
      <c r="AW62" s="55"/>
      <c r="AX62" s="55"/>
      <c r="AY62" s="55"/>
      <c r="AZ62" s="55"/>
      <c r="BA62" s="46"/>
      <c r="BB62" s="30"/>
      <c r="BC62" s="30"/>
      <c r="BD62" s="30"/>
    </row>
    <row r="63" spans="2:56" ht="18" x14ac:dyDescent="0.25">
      <c r="B63" s="32">
        <v>59</v>
      </c>
      <c r="C63" s="33">
        <v>10</v>
      </c>
      <c r="D63" s="33">
        <v>1</v>
      </c>
      <c r="E63" s="32">
        <v>20</v>
      </c>
      <c r="F63" s="32">
        <v>59</v>
      </c>
      <c r="G63" s="32">
        <v>270</v>
      </c>
      <c r="H63" s="32"/>
      <c r="I63" s="34" t="s">
        <v>209</v>
      </c>
      <c r="J63" s="35" t="s">
        <v>210</v>
      </c>
      <c r="K63" s="37">
        <f>2014-2003</f>
        <v>11</v>
      </c>
      <c r="L63" s="33" t="s">
        <v>56</v>
      </c>
      <c r="M63" s="33">
        <v>6</v>
      </c>
      <c r="N63" s="33">
        <v>30</v>
      </c>
      <c r="O63" s="33" t="s">
        <v>57</v>
      </c>
      <c r="P63" s="38" t="s">
        <v>58</v>
      </c>
      <c r="Q63" s="39" t="s">
        <v>211</v>
      </c>
      <c r="R63" s="39" t="s">
        <v>211</v>
      </c>
      <c r="S63" s="40">
        <v>8051.1</v>
      </c>
      <c r="T63" s="40">
        <v>0</v>
      </c>
      <c r="U63" s="40">
        <f t="shared" si="0"/>
        <v>8051.1</v>
      </c>
      <c r="V63" s="40">
        <v>767</v>
      </c>
      <c r="W63" s="40">
        <v>513</v>
      </c>
      <c r="X63" s="40">
        <v>292.12</v>
      </c>
      <c r="Y63" s="40">
        <v>0</v>
      </c>
      <c r="Z63" s="40">
        <f t="shared" si="14"/>
        <v>1251.4830000000002</v>
      </c>
      <c r="AA63" s="40">
        <f t="shared" si="1"/>
        <v>250.29660000000001</v>
      </c>
      <c r="AB63" s="41">
        <v>565.1</v>
      </c>
      <c r="AC63" s="40">
        <f t="shared" si="2"/>
        <v>166.86440000000002</v>
      </c>
      <c r="AD63" s="40">
        <f t="shared" si="3"/>
        <v>4025.55</v>
      </c>
      <c r="AE63" s="42">
        <v>388</v>
      </c>
      <c r="AF63" s="42">
        <v>0</v>
      </c>
      <c r="AG63" s="40">
        <f t="shared" si="15"/>
        <v>58.199999999999996</v>
      </c>
      <c r="AH63" s="40">
        <f t="shared" si="4"/>
        <v>11.639999999999999</v>
      </c>
      <c r="AI63" s="40">
        <f t="shared" si="5"/>
        <v>50.059320000000007</v>
      </c>
      <c r="AJ63" s="40">
        <f t="shared" si="6"/>
        <v>7.76</v>
      </c>
      <c r="AK63" s="42">
        <f t="shared" si="17"/>
        <v>22.604000000000003</v>
      </c>
      <c r="AL63" s="42">
        <f t="shared" si="17"/>
        <v>6.674576000000001</v>
      </c>
      <c r="AM63" s="42">
        <v>0</v>
      </c>
      <c r="AN63" s="42">
        <f t="shared" si="8"/>
        <v>64.666666666666671</v>
      </c>
      <c r="AO63" s="42">
        <f t="shared" si="9"/>
        <v>194</v>
      </c>
      <c r="AP63" s="42">
        <f t="shared" si="10"/>
        <v>646.66666666666663</v>
      </c>
      <c r="AQ63" s="42">
        <f t="shared" si="11"/>
        <v>7444.5880853333338</v>
      </c>
      <c r="AR63" s="40">
        <f t="shared" si="12"/>
        <v>1341.85</v>
      </c>
      <c r="AS63" s="40">
        <f t="shared" si="13"/>
        <v>13418.5</v>
      </c>
      <c r="AT63" s="40">
        <v>7200</v>
      </c>
      <c r="AU63" s="40">
        <f t="shared" si="16"/>
        <v>175714.05608533337</v>
      </c>
      <c r="AV63" s="29"/>
      <c r="AW63" s="29"/>
      <c r="AX63" s="29"/>
      <c r="AY63" s="29"/>
      <c r="AZ63" s="29"/>
      <c r="BA63" s="44"/>
      <c r="BB63" s="30"/>
      <c r="BC63" s="30"/>
      <c r="BD63" s="30"/>
    </row>
    <row r="64" spans="2:56" ht="18" x14ac:dyDescent="0.25">
      <c r="B64" s="32">
        <v>68</v>
      </c>
      <c r="C64" s="33">
        <v>10</v>
      </c>
      <c r="D64" s="33">
        <v>1</v>
      </c>
      <c r="E64" s="32">
        <v>20</v>
      </c>
      <c r="F64" s="32">
        <v>60</v>
      </c>
      <c r="G64" s="32">
        <v>270</v>
      </c>
      <c r="H64" s="32"/>
      <c r="I64" s="34" t="s">
        <v>212</v>
      </c>
      <c r="J64" s="35" t="s">
        <v>213</v>
      </c>
      <c r="K64" s="37">
        <f>2014-2013</f>
        <v>1</v>
      </c>
      <c r="L64" s="33" t="s">
        <v>63</v>
      </c>
      <c r="M64" s="33">
        <v>20</v>
      </c>
      <c r="N64" s="33">
        <v>40</v>
      </c>
      <c r="O64" s="33" t="s">
        <v>143</v>
      </c>
      <c r="P64" s="38" t="s">
        <v>214</v>
      </c>
      <c r="Q64" s="39" t="s">
        <v>74</v>
      </c>
      <c r="R64" s="39" t="s">
        <v>74</v>
      </c>
      <c r="S64" s="40">
        <v>27627</v>
      </c>
      <c r="T64" s="40">
        <v>0</v>
      </c>
      <c r="U64" s="40">
        <f>+S64+T64</f>
        <v>27627</v>
      </c>
      <c r="V64" s="40">
        <v>1664</v>
      </c>
      <c r="W64" s="40">
        <v>1119</v>
      </c>
      <c r="X64" s="40">
        <v>0</v>
      </c>
      <c r="Y64" s="40">
        <v>0</v>
      </c>
      <c r="Z64" s="40">
        <f t="shared" si="14"/>
        <v>4144.05</v>
      </c>
      <c r="AA64" s="40">
        <f>(U64+X64)*3%</f>
        <v>828.81</v>
      </c>
      <c r="AB64" s="41">
        <v>1133.23</v>
      </c>
      <c r="AC64" s="40">
        <f>(U64+X64)*2%</f>
        <v>552.54</v>
      </c>
      <c r="AD64" s="40">
        <f>U64/30*15</f>
        <v>13813.5</v>
      </c>
      <c r="AE64" s="42">
        <v>0</v>
      </c>
      <c r="AF64" s="42">
        <v>70.099999999999994</v>
      </c>
      <c r="AG64" s="40">
        <f t="shared" si="15"/>
        <v>10.514999999999999</v>
      </c>
      <c r="AH64" s="40">
        <f>(AE64+AF64)*3%</f>
        <v>2.1029999999999998</v>
      </c>
      <c r="AI64" s="40">
        <f>Z64*4%</f>
        <v>165.762</v>
      </c>
      <c r="AJ64" s="40">
        <f>(AE64+AF64)*2%</f>
        <v>1.4019999999999999</v>
      </c>
      <c r="AK64" s="42">
        <f>AB64*4%</f>
        <v>45.3292</v>
      </c>
      <c r="AL64" s="42">
        <f>AC64*4%</f>
        <v>22.101599999999998</v>
      </c>
      <c r="AM64" s="42">
        <v>0</v>
      </c>
      <c r="AN64" s="42">
        <f>AE64/30*5</f>
        <v>0</v>
      </c>
      <c r="AO64" s="42">
        <f>AE64/30*15</f>
        <v>0</v>
      </c>
      <c r="AP64" s="42">
        <f>AE64/30*50</f>
        <v>0</v>
      </c>
      <c r="AQ64" s="42">
        <f>SUM(AE64+AF64+AG64+AH64+AI64+AJ64+AK64+AL64)*12+(AM64+AN64+AO64+AP64)</f>
        <v>3807.7536</v>
      </c>
      <c r="AR64" s="40">
        <f>+U64/30*5</f>
        <v>4604.5</v>
      </c>
      <c r="AS64" s="40">
        <f>+U64/30*50</f>
        <v>46045</v>
      </c>
      <c r="AT64" s="40">
        <v>0</v>
      </c>
      <c r="AU64" s="40">
        <f t="shared" si="16"/>
        <v>513094.31360000005</v>
      </c>
      <c r="AV64" s="44"/>
      <c r="AW64" s="44"/>
      <c r="AX64" s="51"/>
      <c r="AY64" s="29"/>
      <c r="AZ64" s="29"/>
      <c r="BA64" s="29"/>
      <c r="BB64" s="29"/>
      <c r="BC64" s="30"/>
      <c r="BD64" s="30"/>
    </row>
    <row r="65" spans="2:56" ht="18" x14ac:dyDescent="0.25">
      <c r="B65" s="32">
        <v>60</v>
      </c>
      <c r="C65" s="33">
        <v>10</v>
      </c>
      <c r="D65" s="33">
        <v>1</v>
      </c>
      <c r="E65" s="32">
        <v>20</v>
      </c>
      <c r="F65" s="32">
        <v>61</v>
      </c>
      <c r="G65" s="32">
        <v>270</v>
      </c>
      <c r="H65" s="32"/>
      <c r="I65" s="34" t="s">
        <v>215</v>
      </c>
      <c r="J65" s="35" t="s">
        <v>216</v>
      </c>
      <c r="K65" s="37">
        <f>2014-2003</f>
        <v>11</v>
      </c>
      <c r="L65" s="33" t="s">
        <v>63</v>
      </c>
      <c r="M65" s="33">
        <v>4</v>
      </c>
      <c r="N65" s="33">
        <v>30</v>
      </c>
      <c r="O65" s="33" t="s">
        <v>57</v>
      </c>
      <c r="P65" s="38" t="s">
        <v>68</v>
      </c>
      <c r="Q65" s="39" t="s">
        <v>59</v>
      </c>
      <c r="R65" s="39" t="s">
        <v>217</v>
      </c>
      <c r="S65" s="40">
        <v>7491</v>
      </c>
      <c r="T65" s="40">
        <v>0</v>
      </c>
      <c r="U65" s="40">
        <f t="shared" si="0"/>
        <v>7491</v>
      </c>
      <c r="V65" s="40">
        <v>682</v>
      </c>
      <c r="W65" s="40">
        <v>412</v>
      </c>
      <c r="X65" s="40">
        <v>292.13</v>
      </c>
      <c r="Y65" s="40">
        <f>U65/30*25%*52</f>
        <v>3246.1</v>
      </c>
      <c r="Z65" s="40">
        <f t="shared" si="14"/>
        <v>1167.4694999999999</v>
      </c>
      <c r="AA65" s="40">
        <f t="shared" si="1"/>
        <v>233.4939</v>
      </c>
      <c r="AB65" s="41">
        <v>547.69000000000005</v>
      </c>
      <c r="AC65" s="40">
        <f t="shared" si="2"/>
        <v>155.6626</v>
      </c>
      <c r="AD65" s="40">
        <f t="shared" si="3"/>
        <v>3745.5</v>
      </c>
      <c r="AE65" s="42">
        <v>375</v>
      </c>
      <c r="AF65" s="42">
        <v>0</v>
      </c>
      <c r="AG65" s="40">
        <f t="shared" si="15"/>
        <v>56.25</v>
      </c>
      <c r="AH65" s="40">
        <f t="shared" si="4"/>
        <v>11.25</v>
      </c>
      <c r="AI65" s="40">
        <f t="shared" si="5"/>
        <v>46.698779999999999</v>
      </c>
      <c r="AJ65" s="40">
        <f t="shared" si="6"/>
        <v>7.5</v>
      </c>
      <c r="AK65" s="42">
        <f t="shared" si="17"/>
        <v>21.907600000000002</v>
      </c>
      <c r="AL65" s="42">
        <f t="shared" si="17"/>
        <v>6.2265040000000003</v>
      </c>
      <c r="AM65" s="42">
        <f>U65*6.58%</f>
        <v>492.90779999999995</v>
      </c>
      <c r="AN65" s="42">
        <f t="shared" si="8"/>
        <v>62.5</v>
      </c>
      <c r="AO65" s="42">
        <f t="shared" si="9"/>
        <v>187.5</v>
      </c>
      <c r="AP65" s="42">
        <f t="shared" si="10"/>
        <v>625</v>
      </c>
      <c r="AQ65" s="42">
        <f t="shared" si="11"/>
        <v>7665.902407999999</v>
      </c>
      <c r="AR65" s="40">
        <f t="shared" si="12"/>
        <v>1248.5</v>
      </c>
      <c r="AS65" s="40">
        <f t="shared" si="13"/>
        <v>12485</v>
      </c>
      <c r="AT65" s="40">
        <v>7200</v>
      </c>
      <c r="AU65" s="40">
        <f t="shared" si="16"/>
        <v>167368.35440799998</v>
      </c>
      <c r="AV65" s="29"/>
      <c r="AW65" s="29"/>
      <c r="AX65" s="29"/>
      <c r="AY65" s="29"/>
      <c r="AZ65" s="29"/>
      <c r="BA65" s="44"/>
      <c r="BB65" s="30"/>
      <c r="BC65" s="30"/>
      <c r="BD65" s="30"/>
    </row>
    <row r="66" spans="2:56" ht="18" x14ac:dyDescent="0.25">
      <c r="B66" s="32">
        <v>61</v>
      </c>
      <c r="C66" s="33">
        <v>10</v>
      </c>
      <c r="D66" s="33">
        <v>1</v>
      </c>
      <c r="E66" s="32">
        <v>20</v>
      </c>
      <c r="F66" s="32">
        <v>62</v>
      </c>
      <c r="G66" s="32">
        <v>270</v>
      </c>
      <c r="H66" s="32"/>
      <c r="I66" s="34" t="s">
        <v>218</v>
      </c>
      <c r="J66" s="35" t="s">
        <v>219</v>
      </c>
      <c r="K66" s="37">
        <f>2014-1999</f>
        <v>15</v>
      </c>
      <c r="L66" s="33" t="s">
        <v>56</v>
      </c>
      <c r="M66" s="33">
        <v>6</v>
      </c>
      <c r="N66" s="33">
        <v>30</v>
      </c>
      <c r="O66" s="33" t="s">
        <v>57</v>
      </c>
      <c r="P66" s="38" t="s">
        <v>58</v>
      </c>
      <c r="Q66" s="39" t="s">
        <v>89</v>
      </c>
      <c r="R66" s="39" t="s">
        <v>89</v>
      </c>
      <c r="S66" s="40">
        <v>8051.1</v>
      </c>
      <c r="T66" s="40">
        <v>0</v>
      </c>
      <c r="U66" s="40">
        <f t="shared" si="0"/>
        <v>8051.1</v>
      </c>
      <c r="V66" s="40">
        <v>767</v>
      </c>
      <c r="W66" s="40">
        <v>513</v>
      </c>
      <c r="X66" s="40">
        <v>365.2</v>
      </c>
      <c r="Y66" s="40">
        <v>0</v>
      </c>
      <c r="Z66" s="40">
        <f t="shared" si="14"/>
        <v>1262.4450000000002</v>
      </c>
      <c r="AA66" s="40">
        <f t="shared" si="1"/>
        <v>252.48900000000003</v>
      </c>
      <c r="AB66" s="41">
        <v>565.23</v>
      </c>
      <c r="AC66" s="40">
        <f t="shared" si="2"/>
        <v>168.32600000000002</v>
      </c>
      <c r="AD66" s="40">
        <f t="shared" si="3"/>
        <v>4025.55</v>
      </c>
      <c r="AE66" s="42">
        <v>388</v>
      </c>
      <c r="AF66" s="42">
        <v>0</v>
      </c>
      <c r="AG66" s="40">
        <f t="shared" si="15"/>
        <v>58.199999999999996</v>
      </c>
      <c r="AH66" s="40">
        <f t="shared" si="4"/>
        <v>11.639999999999999</v>
      </c>
      <c r="AI66" s="40">
        <f t="shared" si="5"/>
        <v>50.497800000000005</v>
      </c>
      <c r="AJ66" s="40">
        <f t="shared" si="6"/>
        <v>7.76</v>
      </c>
      <c r="AK66" s="42">
        <f t="shared" si="17"/>
        <v>22.609200000000001</v>
      </c>
      <c r="AL66" s="42">
        <f t="shared" si="17"/>
        <v>6.7330400000000008</v>
      </c>
      <c r="AM66" s="42">
        <v>0</v>
      </c>
      <c r="AN66" s="42">
        <f t="shared" si="8"/>
        <v>64.666666666666671</v>
      </c>
      <c r="AO66" s="42">
        <f t="shared" si="9"/>
        <v>194</v>
      </c>
      <c r="AP66" s="42">
        <f t="shared" si="10"/>
        <v>646.66666666666663</v>
      </c>
      <c r="AQ66" s="42">
        <f t="shared" si="11"/>
        <v>7450.6138133333325</v>
      </c>
      <c r="AR66" s="40">
        <f t="shared" si="12"/>
        <v>1341.85</v>
      </c>
      <c r="AS66" s="40">
        <f t="shared" si="13"/>
        <v>13418.5</v>
      </c>
      <c r="AT66" s="40">
        <v>7200</v>
      </c>
      <c r="AU66" s="40">
        <f t="shared" si="16"/>
        <v>176773.99381333333</v>
      </c>
      <c r="AV66" s="29"/>
      <c r="AW66" s="29"/>
      <c r="AX66" s="49"/>
      <c r="AY66" s="29"/>
      <c r="AZ66" s="29"/>
      <c r="BA66" s="29"/>
      <c r="BB66" s="29"/>
      <c r="BC66" s="30"/>
      <c r="BD66" s="30"/>
    </row>
    <row r="67" spans="2:56" ht="18" x14ac:dyDescent="0.25">
      <c r="B67" s="32">
        <v>62</v>
      </c>
      <c r="C67" s="33">
        <v>10</v>
      </c>
      <c r="D67" s="33">
        <v>1</v>
      </c>
      <c r="E67" s="32">
        <v>20</v>
      </c>
      <c r="F67" s="32">
        <v>63</v>
      </c>
      <c r="G67" s="32">
        <v>270</v>
      </c>
      <c r="H67" s="32"/>
      <c r="I67" s="34" t="s">
        <v>220</v>
      </c>
      <c r="J67" s="35" t="s">
        <v>221</v>
      </c>
      <c r="K67" s="37">
        <f>2014-2013</f>
        <v>1</v>
      </c>
      <c r="L67" s="33" t="s">
        <v>56</v>
      </c>
      <c r="M67" s="33">
        <v>26</v>
      </c>
      <c r="N67" s="33">
        <v>40</v>
      </c>
      <c r="O67" s="33" t="s">
        <v>143</v>
      </c>
      <c r="P67" s="38" t="s">
        <v>222</v>
      </c>
      <c r="Q67" s="39" t="s">
        <v>89</v>
      </c>
      <c r="R67" s="39" t="s">
        <v>89</v>
      </c>
      <c r="S67" s="40">
        <v>52580</v>
      </c>
      <c r="T67" s="40">
        <v>0</v>
      </c>
      <c r="U67" s="40">
        <f t="shared" si="0"/>
        <v>52580</v>
      </c>
      <c r="V67" s="40">
        <v>2057</v>
      </c>
      <c r="W67" s="40">
        <v>1611</v>
      </c>
      <c r="X67" s="40">
        <v>0</v>
      </c>
      <c r="Y67" s="40">
        <v>0</v>
      </c>
      <c r="Z67" s="40">
        <f t="shared" si="14"/>
        <v>7887</v>
      </c>
      <c r="AA67" s="40">
        <f t="shared" si="1"/>
        <v>1577.3999999999999</v>
      </c>
      <c r="AB67" s="41">
        <v>1526.69</v>
      </c>
      <c r="AC67" s="40">
        <f t="shared" si="2"/>
        <v>1051.5999999999999</v>
      </c>
      <c r="AD67" s="40">
        <v>0</v>
      </c>
      <c r="AE67" s="42">
        <v>0</v>
      </c>
      <c r="AF67" s="42">
        <v>70.099999999999994</v>
      </c>
      <c r="AG67" s="40">
        <f t="shared" si="15"/>
        <v>10.514999999999999</v>
      </c>
      <c r="AH67" s="40">
        <f t="shared" si="4"/>
        <v>2.1029999999999998</v>
      </c>
      <c r="AI67" s="40">
        <f t="shared" si="5"/>
        <v>315.48</v>
      </c>
      <c r="AJ67" s="40">
        <f t="shared" si="6"/>
        <v>1.4019999999999999</v>
      </c>
      <c r="AK67" s="42">
        <f t="shared" si="17"/>
        <v>61.067600000000006</v>
      </c>
      <c r="AL67" s="42">
        <f t="shared" si="17"/>
        <v>42.064</v>
      </c>
      <c r="AM67" s="42">
        <v>0</v>
      </c>
      <c r="AN67" s="42">
        <f t="shared" si="8"/>
        <v>0</v>
      </c>
      <c r="AO67" s="42">
        <f t="shared" si="9"/>
        <v>0</v>
      </c>
      <c r="AP67" s="42">
        <f t="shared" si="10"/>
        <v>0</v>
      </c>
      <c r="AQ67" s="42">
        <f t="shared" si="11"/>
        <v>6032.7791999999999</v>
      </c>
      <c r="AR67" s="40">
        <f t="shared" si="12"/>
        <v>8763.3333333333339</v>
      </c>
      <c r="AS67" s="40">
        <f t="shared" si="13"/>
        <v>87633.333333333343</v>
      </c>
      <c r="AT67" s="40">
        <v>0</v>
      </c>
      <c r="AU67" s="40">
        <f t="shared" si="16"/>
        <v>921917.72586666676</v>
      </c>
      <c r="AV67" s="29"/>
      <c r="AW67" s="29"/>
      <c r="AX67" s="51"/>
      <c r="AY67" s="29"/>
      <c r="AZ67" s="29"/>
      <c r="BA67" s="29"/>
      <c r="BB67" s="29"/>
      <c r="BC67" s="30"/>
      <c r="BD67" s="30"/>
    </row>
    <row r="68" spans="2:56" ht="18" x14ac:dyDescent="0.25">
      <c r="B68" s="32">
        <v>63</v>
      </c>
      <c r="C68" s="33">
        <v>10</v>
      </c>
      <c r="D68" s="33">
        <v>1</v>
      </c>
      <c r="E68" s="32">
        <v>20</v>
      </c>
      <c r="F68" s="32">
        <v>64</v>
      </c>
      <c r="G68" s="32">
        <v>270</v>
      </c>
      <c r="H68" s="32"/>
      <c r="I68" s="34" t="s">
        <v>223</v>
      </c>
      <c r="J68" s="35" t="s">
        <v>224</v>
      </c>
      <c r="K68" s="37">
        <f>2014-1999</f>
        <v>15</v>
      </c>
      <c r="L68" s="33" t="s">
        <v>63</v>
      </c>
      <c r="M68" s="33">
        <v>4</v>
      </c>
      <c r="N68" s="33">
        <v>30</v>
      </c>
      <c r="O68" s="33" t="s">
        <v>57</v>
      </c>
      <c r="P68" s="38" t="s">
        <v>68</v>
      </c>
      <c r="Q68" s="39" t="s">
        <v>59</v>
      </c>
      <c r="R68" s="39" t="s">
        <v>60</v>
      </c>
      <c r="S68" s="40">
        <v>7491</v>
      </c>
      <c r="T68" s="40">
        <v>0</v>
      </c>
      <c r="U68" s="40">
        <f t="shared" si="0"/>
        <v>7491</v>
      </c>
      <c r="V68" s="40">
        <v>682</v>
      </c>
      <c r="W68" s="40">
        <v>412</v>
      </c>
      <c r="X68" s="40">
        <v>365.2</v>
      </c>
      <c r="Y68" s="40">
        <v>0</v>
      </c>
      <c r="Z68" s="40">
        <f t="shared" si="14"/>
        <v>1178.4299999999998</v>
      </c>
      <c r="AA68" s="40">
        <f t="shared" si="1"/>
        <v>235.68599999999998</v>
      </c>
      <c r="AB68" s="41">
        <v>547.83000000000004</v>
      </c>
      <c r="AC68" s="40">
        <f t="shared" si="2"/>
        <v>157.124</v>
      </c>
      <c r="AD68" s="40">
        <f t="shared" ref="AD68:AD111" si="18">U68/30*15</f>
        <v>3745.5</v>
      </c>
      <c r="AE68" s="42">
        <v>375</v>
      </c>
      <c r="AF68" s="42">
        <v>0</v>
      </c>
      <c r="AG68" s="40">
        <f t="shared" si="15"/>
        <v>56.25</v>
      </c>
      <c r="AH68" s="40">
        <f t="shared" si="4"/>
        <v>11.25</v>
      </c>
      <c r="AI68" s="40">
        <f t="shared" si="5"/>
        <v>47.137199999999993</v>
      </c>
      <c r="AJ68" s="40">
        <f t="shared" si="6"/>
        <v>7.5</v>
      </c>
      <c r="AK68" s="42">
        <f t="shared" si="17"/>
        <v>21.913200000000003</v>
      </c>
      <c r="AL68" s="42">
        <f t="shared" si="17"/>
        <v>6.2849599999999999</v>
      </c>
      <c r="AM68" s="42">
        <v>0</v>
      </c>
      <c r="AN68" s="42">
        <f t="shared" si="8"/>
        <v>62.5</v>
      </c>
      <c r="AO68" s="42">
        <f t="shared" si="9"/>
        <v>187.5</v>
      </c>
      <c r="AP68" s="42">
        <f t="shared" si="10"/>
        <v>625</v>
      </c>
      <c r="AQ68" s="42">
        <f t="shared" si="11"/>
        <v>7179.0243199999986</v>
      </c>
      <c r="AR68" s="40">
        <f t="shared" si="12"/>
        <v>1248.5</v>
      </c>
      <c r="AS68" s="40">
        <f t="shared" si="13"/>
        <v>12485</v>
      </c>
      <c r="AT68" s="40">
        <v>7200</v>
      </c>
      <c r="AU68" s="40">
        <f t="shared" si="16"/>
        <v>164689.26431999999</v>
      </c>
      <c r="AV68" s="29"/>
      <c r="AW68" s="29"/>
      <c r="AX68" s="52"/>
      <c r="AY68" s="29"/>
      <c r="AZ68" s="29"/>
      <c r="BA68" s="29"/>
      <c r="BB68" s="29"/>
      <c r="BC68" s="30"/>
      <c r="BD68" s="30"/>
    </row>
    <row r="69" spans="2:56" ht="18" x14ac:dyDescent="0.25">
      <c r="B69" s="32">
        <v>64</v>
      </c>
      <c r="C69" s="33">
        <v>10</v>
      </c>
      <c r="D69" s="33">
        <v>1</v>
      </c>
      <c r="E69" s="32">
        <v>20</v>
      </c>
      <c r="F69" s="32">
        <v>65</v>
      </c>
      <c r="G69" s="32">
        <v>270</v>
      </c>
      <c r="H69" s="32"/>
      <c r="I69" s="34" t="s">
        <v>225</v>
      </c>
      <c r="J69" s="35" t="s">
        <v>226</v>
      </c>
      <c r="K69" s="37">
        <f>2014-1990</f>
        <v>24</v>
      </c>
      <c r="L69" s="33" t="s">
        <v>63</v>
      </c>
      <c r="M69" s="33">
        <v>4</v>
      </c>
      <c r="N69" s="33">
        <v>30</v>
      </c>
      <c r="O69" s="33" t="s">
        <v>57</v>
      </c>
      <c r="P69" s="38" t="s">
        <v>68</v>
      </c>
      <c r="Q69" s="39" t="s">
        <v>59</v>
      </c>
      <c r="R69" s="39" t="s">
        <v>60</v>
      </c>
      <c r="S69" s="40">
        <v>7491</v>
      </c>
      <c r="T69" s="40">
        <v>0</v>
      </c>
      <c r="U69" s="40">
        <f t="shared" ref="U69:U111" si="19">+S69+T69</f>
        <v>7491</v>
      </c>
      <c r="V69" s="40">
        <v>682</v>
      </c>
      <c r="W69" s="40">
        <v>412</v>
      </c>
      <c r="X69" s="40">
        <v>511.28</v>
      </c>
      <c r="Y69" s="40">
        <v>0</v>
      </c>
      <c r="Z69" s="40">
        <f t="shared" si="14"/>
        <v>1200.3419999999999</v>
      </c>
      <c r="AA69" s="40">
        <f t="shared" ref="AA69:AA111" si="20">(U69+X69)*3%</f>
        <v>240.0684</v>
      </c>
      <c r="AB69" s="41">
        <v>548.09</v>
      </c>
      <c r="AC69" s="40">
        <f t="shared" ref="AC69:AC111" si="21">(U69+X69)*2%</f>
        <v>160.04560000000001</v>
      </c>
      <c r="AD69" s="40">
        <f t="shared" si="18"/>
        <v>3745.5</v>
      </c>
      <c r="AE69" s="42">
        <v>375</v>
      </c>
      <c r="AF69" s="42">
        <v>70.099999999999994</v>
      </c>
      <c r="AG69" s="40">
        <f t="shared" si="15"/>
        <v>66.765000000000001</v>
      </c>
      <c r="AH69" s="40">
        <f t="shared" ref="AH69:AH111" si="22">(AE69+AF69)*3%</f>
        <v>13.353</v>
      </c>
      <c r="AI69" s="40">
        <f t="shared" ref="AI69:AI111" si="23">Z69*4%</f>
        <v>48.013679999999994</v>
      </c>
      <c r="AJ69" s="40">
        <f t="shared" ref="AJ69:AJ111" si="24">(AE69+AF69)*2%</f>
        <v>8.902000000000001</v>
      </c>
      <c r="AK69" s="42">
        <f t="shared" si="17"/>
        <v>21.9236</v>
      </c>
      <c r="AL69" s="42">
        <f t="shared" si="17"/>
        <v>6.4018240000000004</v>
      </c>
      <c r="AM69" s="42">
        <v>0</v>
      </c>
      <c r="AN69" s="42">
        <f t="shared" ref="AN69:AN111" si="25">AE69/30*5</f>
        <v>62.5</v>
      </c>
      <c r="AO69" s="42">
        <f t="shared" ref="AO69:AO111" si="26">AE69/30*15</f>
        <v>187.5</v>
      </c>
      <c r="AP69" s="42">
        <f t="shared" ref="AP69:AP111" si="27">AE69/30*50</f>
        <v>625</v>
      </c>
      <c r="AQ69" s="42">
        <f t="shared" ref="AQ69:AQ111" si="28">SUM(AE69+AF69+AG69+AH69+AI69+AJ69+AK69+AL69)*12+(AM69+AN69+AO69+AP69)</f>
        <v>8200.5092480000003</v>
      </c>
      <c r="AR69" s="40">
        <f t="shared" ref="AR69:AR111" si="29">+U69/30*5</f>
        <v>1248.5</v>
      </c>
      <c r="AS69" s="40">
        <f t="shared" ref="AS69:AS111" si="30">+U69/30*50</f>
        <v>12485</v>
      </c>
      <c r="AT69" s="40">
        <v>7200</v>
      </c>
      <c r="AU69" s="40">
        <f t="shared" si="16"/>
        <v>167817.421248</v>
      </c>
      <c r="AV69" s="29"/>
      <c r="AW69" s="29"/>
      <c r="AX69" s="52"/>
      <c r="AY69" s="29"/>
      <c r="AZ69" s="29"/>
      <c r="BA69" s="29"/>
      <c r="BB69" s="29"/>
      <c r="BC69" s="30"/>
      <c r="BD69" s="30"/>
    </row>
    <row r="70" spans="2:56" ht="18" x14ac:dyDescent="0.25">
      <c r="B70" s="32">
        <v>65</v>
      </c>
      <c r="C70" s="33">
        <v>10</v>
      </c>
      <c r="D70" s="33">
        <v>1</v>
      </c>
      <c r="E70" s="32">
        <v>20</v>
      </c>
      <c r="F70" s="32">
        <v>66</v>
      </c>
      <c r="G70" s="32">
        <v>270</v>
      </c>
      <c r="H70" s="32"/>
      <c r="I70" s="34" t="s">
        <v>227</v>
      </c>
      <c r="J70" s="35" t="s">
        <v>228</v>
      </c>
      <c r="K70" s="37">
        <f>2014-1987</f>
        <v>27</v>
      </c>
      <c r="L70" s="33" t="s">
        <v>63</v>
      </c>
      <c r="M70" s="33">
        <v>7</v>
      </c>
      <c r="N70" s="33">
        <v>40</v>
      </c>
      <c r="O70" s="33" t="s">
        <v>57</v>
      </c>
      <c r="P70" s="38" t="s">
        <v>120</v>
      </c>
      <c r="Q70" s="39" t="s">
        <v>121</v>
      </c>
      <c r="R70" s="39" t="s">
        <v>74</v>
      </c>
      <c r="S70" s="40">
        <v>10797.6</v>
      </c>
      <c r="T70" s="40">
        <v>0</v>
      </c>
      <c r="U70" s="40">
        <f t="shared" si="19"/>
        <v>10797.6</v>
      </c>
      <c r="V70" s="40">
        <v>1006</v>
      </c>
      <c r="W70" s="40">
        <v>680</v>
      </c>
      <c r="X70" s="40">
        <v>511.28</v>
      </c>
      <c r="Y70" s="40">
        <v>0</v>
      </c>
      <c r="Z70" s="40">
        <f t="shared" ref="Z70:Z111" si="31">(U70+X70)*15%</f>
        <v>1696.3320000000001</v>
      </c>
      <c r="AA70" s="40">
        <f t="shared" si="20"/>
        <v>339.26640000000003</v>
      </c>
      <c r="AB70" s="41">
        <v>646.22</v>
      </c>
      <c r="AC70" s="40">
        <f t="shared" si="21"/>
        <v>226.17760000000001</v>
      </c>
      <c r="AD70" s="40">
        <f t="shared" si="18"/>
        <v>5398.8</v>
      </c>
      <c r="AE70" s="42">
        <v>450</v>
      </c>
      <c r="AF70" s="42">
        <v>70.099999999999994</v>
      </c>
      <c r="AG70" s="40">
        <f t="shared" ref="AG70:AG111" si="32">(AE70+AF70)*15%</f>
        <v>78.015000000000001</v>
      </c>
      <c r="AH70" s="40">
        <f t="shared" si="22"/>
        <v>15.603</v>
      </c>
      <c r="AI70" s="40">
        <f t="shared" si="23"/>
        <v>67.853280000000012</v>
      </c>
      <c r="AJ70" s="40">
        <f t="shared" si="24"/>
        <v>10.402000000000001</v>
      </c>
      <c r="AK70" s="42">
        <f t="shared" si="17"/>
        <v>25.848800000000001</v>
      </c>
      <c r="AL70" s="42">
        <f t="shared" si="17"/>
        <v>9.0471040000000009</v>
      </c>
      <c r="AM70" s="42">
        <v>0</v>
      </c>
      <c r="AN70" s="42">
        <f t="shared" si="25"/>
        <v>75</v>
      </c>
      <c r="AO70" s="42">
        <f t="shared" si="26"/>
        <v>225</v>
      </c>
      <c r="AP70" s="42">
        <f t="shared" si="27"/>
        <v>750</v>
      </c>
      <c r="AQ70" s="42">
        <f t="shared" si="28"/>
        <v>9772.4302079999998</v>
      </c>
      <c r="AR70" s="40">
        <f t="shared" si="29"/>
        <v>1799.6000000000001</v>
      </c>
      <c r="AS70" s="40">
        <f t="shared" si="30"/>
        <v>17996</v>
      </c>
      <c r="AT70" s="40">
        <v>7200</v>
      </c>
      <c r="AU70" s="40">
        <f t="shared" si="16"/>
        <v>233001.34220800002</v>
      </c>
      <c r="AV70" s="29"/>
      <c r="AW70" s="29"/>
      <c r="AX70" s="45"/>
      <c r="AY70" s="29"/>
      <c r="AZ70" s="29"/>
      <c r="BA70" s="29"/>
      <c r="BB70" s="29"/>
      <c r="BC70" s="30"/>
      <c r="BD70" s="30"/>
    </row>
    <row r="71" spans="2:56" ht="18" x14ac:dyDescent="0.25">
      <c r="B71" s="32">
        <v>66</v>
      </c>
      <c r="C71" s="33">
        <v>10</v>
      </c>
      <c r="D71" s="33">
        <v>1</v>
      </c>
      <c r="E71" s="32">
        <v>20</v>
      </c>
      <c r="F71" s="32">
        <v>67</v>
      </c>
      <c r="G71" s="32">
        <v>270</v>
      </c>
      <c r="H71" s="32"/>
      <c r="I71" s="34" t="s">
        <v>229</v>
      </c>
      <c r="J71" s="35" t="s">
        <v>230</v>
      </c>
      <c r="K71" s="37">
        <f>2014-1990</f>
        <v>24</v>
      </c>
      <c r="L71" s="33" t="s">
        <v>63</v>
      </c>
      <c r="M71" s="33">
        <v>3</v>
      </c>
      <c r="N71" s="33">
        <v>30</v>
      </c>
      <c r="O71" s="33" t="s">
        <v>57</v>
      </c>
      <c r="P71" s="38" t="s">
        <v>64</v>
      </c>
      <c r="Q71" s="39" t="s">
        <v>65</v>
      </c>
      <c r="R71" s="39" t="s">
        <v>60</v>
      </c>
      <c r="S71" s="40">
        <v>7227.3</v>
      </c>
      <c r="T71" s="40">
        <v>0</v>
      </c>
      <c r="U71" s="40">
        <f t="shared" si="19"/>
        <v>7227.3</v>
      </c>
      <c r="V71" s="40">
        <v>672</v>
      </c>
      <c r="W71" s="40">
        <v>402</v>
      </c>
      <c r="X71" s="40">
        <v>511.28</v>
      </c>
      <c r="Y71" s="40">
        <v>0</v>
      </c>
      <c r="Z71" s="40">
        <f t="shared" si="31"/>
        <v>1160.787</v>
      </c>
      <c r="AA71" s="40">
        <f t="shared" si="20"/>
        <v>232.1574</v>
      </c>
      <c r="AB71" s="41">
        <v>540.51</v>
      </c>
      <c r="AC71" s="40">
        <f t="shared" si="21"/>
        <v>154.77160000000001</v>
      </c>
      <c r="AD71" s="40">
        <f t="shared" si="18"/>
        <v>3613.65</v>
      </c>
      <c r="AE71" s="42">
        <v>375</v>
      </c>
      <c r="AF71" s="42">
        <v>0</v>
      </c>
      <c r="AG71" s="40">
        <f t="shared" si="32"/>
        <v>56.25</v>
      </c>
      <c r="AH71" s="40">
        <f t="shared" si="22"/>
        <v>11.25</v>
      </c>
      <c r="AI71" s="40">
        <f t="shared" si="23"/>
        <v>46.431480000000001</v>
      </c>
      <c r="AJ71" s="40">
        <f t="shared" si="24"/>
        <v>7.5</v>
      </c>
      <c r="AK71" s="42">
        <f t="shared" si="17"/>
        <v>21.6204</v>
      </c>
      <c r="AL71" s="42">
        <f t="shared" si="17"/>
        <v>6.1908640000000004</v>
      </c>
      <c r="AM71" s="42">
        <v>0</v>
      </c>
      <c r="AN71" s="42">
        <f t="shared" si="25"/>
        <v>62.5</v>
      </c>
      <c r="AO71" s="42">
        <f t="shared" si="26"/>
        <v>187.5</v>
      </c>
      <c r="AP71" s="42">
        <f t="shared" si="27"/>
        <v>625</v>
      </c>
      <c r="AQ71" s="42">
        <f t="shared" si="28"/>
        <v>7165.9129279999997</v>
      </c>
      <c r="AR71" s="40">
        <f t="shared" si="29"/>
        <v>1204.55</v>
      </c>
      <c r="AS71" s="40">
        <f t="shared" si="30"/>
        <v>12045.5</v>
      </c>
      <c r="AT71" s="40">
        <v>7200</v>
      </c>
      <c r="AU71" s="40">
        <f t="shared" ref="AU71:AU111" si="33">(U71+V71+W71+X71+Z71+AA71+AB71+AC71)*12+(Y71+AV71+AD71+AR71+AS71+AT71+AQ71)</f>
        <v>162039.28492800001</v>
      </c>
      <c r="AV71" s="29"/>
      <c r="AW71" s="29"/>
      <c r="AX71" s="45"/>
      <c r="AY71" s="29"/>
      <c r="AZ71" s="29"/>
      <c r="BA71" s="29"/>
      <c r="BB71" s="29"/>
      <c r="BC71" s="30"/>
      <c r="BD71" s="30"/>
    </row>
    <row r="72" spans="2:56" ht="18" x14ac:dyDescent="0.25">
      <c r="B72" s="32">
        <v>67</v>
      </c>
      <c r="C72" s="33">
        <v>10</v>
      </c>
      <c r="D72" s="33">
        <v>1</v>
      </c>
      <c r="E72" s="32">
        <v>20</v>
      </c>
      <c r="F72" s="32">
        <v>68</v>
      </c>
      <c r="G72" s="32">
        <v>270</v>
      </c>
      <c r="H72" s="32"/>
      <c r="I72" s="34" t="s">
        <v>231</v>
      </c>
      <c r="J72" s="35" t="s">
        <v>232</v>
      </c>
      <c r="K72" s="37">
        <f>2014-2000</f>
        <v>14</v>
      </c>
      <c r="L72" s="33" t="s">
        <v>63</v>
      </c>
      <c r="M72" s="33">
        <v>4</v>
      </c>
      <c r="N72" s="33">
        <v>30</v>
      </c>
      <c r="O72" s="33" t="s">
        <v>57</v>
      </c>
      <c r="P72" s="38" t="s">
        <v>68</v>
      </c>
      <c r="Q72" s="39" t="s">
        <v>59</v>
      </c>
      <c r="R72" s="39" t="s">
        <v>60</v>
      </c>
      <c r="S72" s="40">
        <v>7491</v>
      </c>
      <c r="T72" s="40">
        <v>0</v>
      </c>
      <c r="U72" s="40">
        <f t="shared" si="19"/>
        <v>7491</v>
      </c>
      <c r="V72" s="40">
        <v>682</v>
      </c>
      <c r="W72" s="40">
        <v>412</v>
      </c>
      <c r="X72" s="40">
        <v>365.2</v>
      </c>
      <c r="Y72" s="40">
        <v>0</v>
      </c>
      <c r="Z72" s="40">
        <f t="shared" si="31"/>
        <v>1178.4299999999998</v>
      </c>
      <c r="AA72" s="40">
        <f t="shared" si="20"/>
        <v>235.68599999999998</v>
      </c>
      <c r="AB72" s="41">
        <v>547.69000000000005</v>
      </c>
      <c r="AC72" s="40">
        <f t="shared" si="21"/>
        <v>157.124</v>
      </c>
      <c r="AD72" s="40">
        <f t="shared" si="18"/>
        <v>3745.5</v>
      </c>
      <c r="AE72" s="42">
        <v>375</v>
      </c>
      <c r="AF72" s="42">
        <v>70.099999999999994</v>
      </c>
      <c r="AG72" s="40">
        <f t="shared" si="32"/>
        <v>66.765000000000001</v>
      </c>
      <c r="AH72" s="40">
        <f t="shared" si="22"/>
        <v>13.353</v>
      </c>
      <c r="AI72" s="40">
        <f t="shared" si="23"/>
        <v>47.137199999999993</v>
      </c>
      <c r="AJ72" s="40">
        <f t="shared" si="24"/>
        <v>8.902000000000001</v>
      </c>
      <c r="AK72" s="42">
        <f t="shared" si="17"/>
        <v>21.907600000000002</v>
      </c>
      <c r="AL72" s="42">
        <f t="shared" si="17"/>
        <v>6.2849599999999999</v>
      </c>
      <c r="AM72" s="42">
        <v>0</v>
      </c>
      <c r="AN72" s="42">
        <f t="shared" si="25"/>
        <v>62.5</v>
      </c>
      <c r="AO72" s="42">
        <f t="shared" si="26"/>
        <v>187.5</v>
      </c>
      <c r="AP72" s="42">
        <f t="shared" si="27"/>
        <v>625</v>
      </c>
      <c r="AQ72" s="42">
        <f t="shared" si="28"/>
        <v>8188.3971199999996</v>
      </c>
      <c r="AR72" s="40">
        <f t="shared" si="29"/>
        <v>1248.5</v>
      </c>
      <c r="AS72" s="40">
        <f t="shared" si="30"/>
        <v>12485</v>
      </c>
      <c r="AT72" s="40">
        <v>7200</v>
      </c>
      <c r="AU72" s="40">
        <f t="shared" si="33"/>
        <v>165696.95712000001</v>
      </c>
      <c r="AV72" s="29"/>
      <c r="AW72" s="29"/>
      <c r="AX72" s="49"/>
      <c r="AY72" s="29"/>
      <c r="AZ72" s="29"/>
      <c r="BA72" s="29"/>
      <c r="BB72" s="29"/>
      <c r="BC72" s="30"/>
      <c r="BD72" s="30"/>
    </row>
    <row r="73" spans="2:56" ht="18" x14ac:dyDescent="0.25">
      <c r="B73" s="32">
        <v>69</v>
      </c>
      <c r="C73" s="33">
        <v>10</v>
      </c>
      <c r="D73" s="33">
        <v>1</v>
      </c>
      <c r="E73" s="32">
        <v>20</v>
      </c>
      <c r="F73" s="32">
        <v>69</v>
      </c>
      <c r="G73" s="32">
        <v>270</v>
      </c>
      <c r="H73" s="32"/>
      <c r="I73" s="34" t="s">
        <v>233</v>
      </c>
      <c r="J73" s="35" t="s">
        <v>234</v>
      </c>
      <c r="K73" s="37">
        <f>2014-1998</f>
        <v>16</v>
      </c>
      <c r="L73" s="33" t="s">
        <v>63</v>
      </c>
      <c r="M73" s="33">
        <v>4</v>
      </c>
      <c r="N73" s="33">
        <v>30</v>
      </c>
      <c r="O73" s="33" t="s">
        <v>57</v>
      </c>
      <c r="P73" s="38" t="s">
        <v>68</v>
      </c>
      <c r="Q73" s="39" t="s">
        <v>59</v>
      </c>
      <c r="R73" s="39" t="s">
        <v>60</v>
      </c>
      <c r="S73" s="40">
        <v>7491</v>
      </c>
      <c r="T73" s="40">
        <v>0</v>
      </c>
      <c r="U73" s="40">
        <f t="shared" si="19"/>
        <v>7491</v>
      </c>
      <c r="V73" s="40">
        <v>682</v>
      </c>
      <c r="W73" s="40">
        <v>412</v>
      </c>
      <c r="X73" s="40">
        <v>365.2</v>
      </c>
      <c r="Y73" s="40">
        <v>0</v>
      </c>
      <c r="Z73" s="40">
        <f t="shared" si="31"/>
        <v>1178.4299999999998</v>
      </c>
      <c r="AA73" s="40">
        <f t="shared" si="20"/>
        <v>235.68599999999998</v>
      </c>
      <c r="AB73" s="41">
        <v>547.83000000000004</v>
      </c>
      <c r="AC73" s="40">
        <f t="shared" si="21"/>
        <v>157.124</v>
      </c>
      <c r="AD73" s="40">
        <f t="shared" si="18"/>
        <v>3745.5</v>
      </c>
      <c r="AE73" s="42">
        <v>375</v>
      </c>
      <c r="AF73" s="42">
        <v>0</v>
      </c>
      <c r="AG73" s="40">
        <f t="shared" si="32"/>
        <v>56.25</v>
      </c>
      <c r="AH73" s="40">
        <f t="shared" si="22"/>
        <v>11.25</v>
      </c>
      <c r="AI73" s="40">
        <f t="shared" si="23"/>
        <v>47.137199999999993</v>
      </c>
      <c r="AJ73" s="40">
        <f t="shared" si="24"/>
        <v>7.5</v>
      </c>
      <c r="AK73" s="42">
        <f t="shared" si="17"/>
        <v>21.913200000000003</v>
      </c>
      <c r="AL73" s="42">
        <f t="shared" si="17"/>
        <v>6.2849599999999999</v>
      </c>
      <c r="AM73" s="42">
        <v>0</v>
      </c>
      <c r="AN73" s="42">
        <f t="shared" si="25"/>
        <v>62.5</v>
      </c>
      <c r="AO73" s="42">
        <f t="shared" si="26"/>
        <v>187.5</v>
      </c>
      <c r="AP73" s="42">
        <f t="shared" si="27"/>
        <v>625</v>
      </c>
      <c r="AQ73" s="42">
        <f t="shared" si="28"/>
        <v>7179.0243199999986</v>
      </c>
      <c r="AR73" s="40">
        <f t="shared" si="29"/>
        <v>1248.5</v>
      </c>
      <c r="AS73" s="40">
        <f t="shared" si="30"/>
        <v>12485</v>
      </c>
      <c r="AT73" s="40">
        <v>7200</v>
      </c>
      <c r="AU73" s="40">
        <f t="shared" si="33"/>
        <v>164689.26431999999</v>
      </c>
      <c r="AV73" s="51"/>
      <c r="AW73" s="29"/>
      <c r="AX73" s="54"/>
      <c r="AY73" s="29"/>
      <c r="AZ73" s="29"/>
      <c r="BA73" s="29"/>
      <c r="BB73" s="29"/>
      <c r="BC73" s="30"/>
      <c r="BD73" s="30"/>
    </row>
    <row r="74" spans="2:56" ht="18" x14ac:dyDescent="0.25">
      <c r="B74" s="32">
        <v>70</v>
      </c>
      <c r="C74" s="33">
        <v>10</v>
      </c>
      <c r="D74" s="33">
        <v>1</v>
      </c>
      <c r="E74" s="32">
        <v>20</v>
      </c>
      <c r="F74" s="32">
        <v>70</v>
      </c>
      <c r="G74" s="32">
        <v>270</v>
      </c>
      <c r="H74" s="32"/>
      <c r="I74" s="34" t="s">
        <v>235</v>
      </c>
      <c r="J74" s="35" t="s">
        <v>236</v>
      </c>
      <c r="K74" s="37">
        <f>2014-2001</f>
        <v>13</v>
      </c>
      <c r="L74" s="33" t="s">
        <v>56</v>
      </c>
      <c r="M74" s="33">
        <v>3</v>
      </c>
      <c r="N74" s="33">
        <v>30</v>
      </c>
      <c r="O74" s="33" t="s">
        <v>57</v>
      </c>
      <c r="P74" s="38" t="s">
        <v>64</v>
      </c>
      <c r="Q74" s="39" t="s">
        <v>65</v>
      </c>
      <c r="R74" s="39" t="s">
        <v>60</v>
      </c>
      <c r="S74" s="40">
        <v>7227.3</v>
      </c>
      <c r="T74" s="40">
        <v>0</v>
      </c>
      <c r="U74" s="40">
        <f t="shared" si="19"/>
        <v>7227.3</v>
      </c>
      <c r="V74" s="40">
        <v>672</v>
      </c>
      <c r="W74" s="40">
        <v>402</v>
      </c>
      <c r="X74" s="40">
        <v>292.13</v>
      </c>
      <c r="Y74" s="40">
        <v>0</v>
      </c>
      <c r="Z74" s="40">
        <f t="shared" si="31"/>
        <v>1127.9145000000001</v>
      </c>
      <c r="AA74" s="40">
        <f t="shared" si="20"/>
        <v>225.5829</v>
      </c>
      <c r="AB74" s="41">
        <v>540.25</v>
      </c>
      <c r="AC74" s="40">
        <f t="shared" si="21"/>
        <v>150.3886</v>
      </c>
      <c r="AD74" s="40">
        <f t="shared" si="18"/>
        <v>3613.65</v>
      </c>
      <c r="AE74" s="42">
        <v>375</v>
      </c>
      <c r="AF74" s="42">
        <v>0</v>
      </c>
      <c r="AG74" s="40">
        <f t="shared" si="32"/>
        <v>56.25</v>
      </c>
      <c r="AH74" s="40">
        <f t="shared" si="22"/>
        <v>11.25</v>
      </c>
      <c r="AI74" s="40">
        <f t="shared" si="23"/>
        <v>45.116580000000006</v>
      </c>
      <c r="AJ74" s="40">
        <f t="shared" si="24"/>
        <v>7.5</v>
      </c>
      <c r="AK74" s="42">
        <f t="shared" si="17"/>
        <v>21.61</v>
      </c>
      <c r="AL74" s="42">
        <f t="shared" si="17"/>
        <v>6.0155440000000002</v>
      </c>
      <c r="AM74" s="42">
        <v>0</v>
      </c>
      <c r="AN74" s="42">
        <f t="shared" si="25"/>
        <v>62.5</v>
      </c>
      <c r="AO74" s="42">
        <f t="shared" si="26"/>
        <v>187.5</v>
      </c>
      <c r="AP74" s="42">
        <f t="shared" si="27"/>
        <v>625</v>
      </c>
      <c r="AQ74" s="42">
        <f t="shared" si="28"/>
        <v>7147.9054880000003</v>
      </c>
      <c r="AR74" s="40">
        <f t="shared" si="29"/>
        <v>1204.55</v>
      </c>
      <c r="AS74" s="40">
        <f t="shared" si="30"/>
        <v>12045.5</v>
      </c>
      <c r="AT74" s="40">
        <v>7200</v>
      </c>
      <c r="AU74" s="40">
        <f t="shared" si="33"/>
        <v>158862.39748799999</v>
      </c>
      <c r="AV74" s="51"/>
      <c r="AW74" s="29"/>
      <c r="AX74" s="54"/>
      <c r="AY74" s="29"/>
      <c r="AZ74" s="29"/>
      <c r="BA74" s="29"/>
      <c r="BB74" s="29"/>
      <c r="BC74" s="30"/>
      <c r="BD74" s="30"/>
    </row>
    <row r="75" spans="2:56" ht="24" x14ac:dyDescent="0.25">
      <c r="B75" s="32">
        <v>71</v>
      </c>
      <c r="C75" s="33">
        <v>10</v>
      </c>
      <c r="D75" s="33">
        <v>1</v>
      </c>
      <c r="E75" s="32">
        <v>20</v>
      </c>
      <c r="F75" s="32">
        <v>71</v>
      </c>
      <c r="G75" s="32">
        <v>270</v>
      </c>
      <c r="H75" s="32"/>
      <c r="I75" s="34" t="s">
        <v>237</v>
      </c>
      <c r="J75" s="34" t="s">
        <v>238</v>
      </c>
      <c r="K75" s="37">
        <f>2014-2011</f>
        <v>3</v>
      </c>
      <c r="L75" s="33" t="s">
        <v>63</v>
      </c>
      <c r="M75" s="33">
        <v>15</v>
      </c>
      <c r="N75" s="33">
        <v>40</v>
      </c>
      <c r="O75" s="33" t="s">
        <v>143</v>
      </c>
      <c r="P75" s="38" t="s">
        <v>144</v>
      </c>
      <c r="Q75" s="60" t="s">
        <v>239</v>
      </c>
      <c r="R75" s="39" t="s">
        <v>74</v>
      </c>
      <c r="S75" s="40">
        <v>15425.1</v>
      </c>
      <c r="T75" s="40">
        <v>0</v>
      </c>
      <c r="U75" s="40">
        <f t="shared" si="19"/>
        <v>15425.1</v>
      </c>
      <c r="V75" s="40">
        <v>1206</v>
      </c>
      <c r="W75" s="40">
        <v>755</v>
      </c>
      <c r="X75" s="40">
        <v>0</v>
      </c>
      <c r="Y75" s="40">
        <v>0</v>
      </c>
      <c r="Z75" s="40">
        <f t="shared" si="31"/>
        <v>2313.7649999999999</v>
      </c>
      <c r="AA75" s="40">
        <f t="shared" si="20"/>
        <v>462.75299999999999</v>
      </c>
      <c r="AB75" s="41">
        <v>765.8</v>
      </c>
      <c r="AC75" s="40">
        <f t="shared" si="21"/>
        <v>308.50200000000001</v>
      </c>
      <c r="AD75" s="40">
        <f t="shared" si="18"/>
        <v>7712.5499999999993</v>
      </c>
      <c r="AE75" s="42">
        <v>0</v>
      </c>
      <c r="AF75" s="42">
        <v>0</v>
      </c>
      <c r="AG75" s="40">
        <f t="shared" si="32"/>
        <v>0</v>
      </c>
      <c r="AH75" s="40">
        <f t="shared" si="22"/>
        <v>0</v>
      </c>
      <c r="AI75" s="40">
        <f t="shared" si="23"/>
        <v>92.550600000000003</v>
      </c>
      <c r="AJ75" s="40">
        <f t="shared" si="24"/>
        <v>0</v>
      </c>
      <c r="AK75" s="42">
        <f t="shared" si="17"/>
        <v>30.631999999999998</v>
      </c>
      <c r="AL75" s="42">
        <f t="shared" si="17"/>
        <v>12.34008</v>
      </c>
      <c r="AM75" s="42">
        <v>0</v>
      </c>
      <c r="AN75" s="42">
        <f t="shared" si="25"/>
        <v>0</v>
      </c>
      <c r="AO75" s="42">
        <f t="shared" si="26"/>
        <v>0</v>
      </c>
      <c r="AP75" s="42">
        <f t="shared" si="27"/>
        <v>0</v>
      </c>
      <c r="AQ75" s="42">
        <f t="shared" si="28"/>
        <v>1626.27216</v>
      </c>
      <c r="AR75" s="40">
        <f t="shared" si="29"/>
        <v>2570.85</v>
      </c>
      <c r="AS75" s="40">
        <f t="shared" si="30"/>
        <v>25708.499999999996</v>
      </c>
      <c r="AT75" s="40">
        <v>7200</v>
      </c>
      <c r="AU75" s="40">
        <f t="shared" si="33"/>
        <v>299661.21216</v>
      </c>
      <c r="AV75" s="54"/>
      <c r="AW75" s="29"/>
      <c r="AX75" s="29"/>
      <c r="AY75" s="29"/>
      <c r="AZ75" s="29"/>
      <c r="BA75" s="30"/>
      <c r="BB75" s="30"/>
      <c r="BC75" s="30"/>
      <c r="BD75" s="30"/>
    </row>
    <row r="76" spans="2:56" ht="18" x14ac:dyDescent="0.25">
      <c r="B76" s="32">
        <v>72</v>
      </c>
      <c r="C76" s="33">
        <v>10</v>
      </c>
      <c r="D76" s="33">
        <v>1</v>
      </c>
      <c r="E76" s="32">
        <v>20</v>
      </c>
      <c r="F76" s="32">
        <v>72</v>
      </c>
      <c r="G76" s="32">
        <v>270</v>
      </c>
      <c r="H76" s="32"/>
      <c r="I76" s="34" t="s">
        <v>240</v>
      </c>
      <c r="J76" s="35" t="s">
        <v>241</v>
      </c>
      <c r="K76" s="37">
        <f>2014-1996</f>
        <v>18</v>
      </c>
      <c r="L76" s="33" t="s">
        <v>63</v>
      </c>
      <c r="M76" s="33">
        <v>4</v>
      </c>
      <c r="N76" s="33">
        <v>30</v>
      </c>
      <c r="O76" s="33" t="s">
        <v>57</v>
      </c>
      <c r="P76" s="38" t="s">
        <v>68</v>
      </c>
      <c r="Q76" s="39" t="s">
        <v>59</v>
      </c>
      <c r="R76" s="39" t="s">
        <v>60</v>
      </c>
      <c r="S76" s="40">
        <v>7491</v>
      </c>
      <c r="T76" s="40">
        <v>0</v>
      </c>
      <c r="U76" s="40">
        <f t="shared" si="19"/>
        <v>7491</v>
      </c>
      <c r="V76" s="40">
        <v>682</v>
      </c>
      <c r="W76" s="40">
        <v>412</v>
      </c>
      <c r="X76" s="40">
        <v>438.24</v>
      </c>
      <c r="Y76" s="40">
        <v>0</v>
      </c>
      <c r="Z76" s="40">
        <f t="shared" si="31"/>
        <v>1189.386</v>
      </c>
      <c r="AA76" s="40">
        <f t="shared" si="20"/>
        <v>237.87719999999999</v>
      </c>
      <c r="AB76" s="41">
        <v>547.83000000000004</v>
      </c>
      <c r="AC76" s="40">
        <f t="shared" si="21"/>
        <v>158.5848</v>
      </c>
      <c r="AD76" s="40">
        <f t="shared" si="18"/>
        <v>3745.5</v>
      </c>
      <c r="AE76" s="42">
        <v>375</v>
      </c>
      <c r="AF76" s="42">
        <v>0</v>
      </c>
      <c r="AG76" s="40">
        <f t="shared" si="32"/>
        <v>56.25</v>
      </c>
      <c r="AH76" s="40">
        <f t="shared" si="22"/>
        <v>11.25</v>
      </c>
      <c r="AI76" s="40">
        <f t="shared" si="23"/>
        <v>47.57544</v>
      </c>
      <c r="AJ76" s="40">
        <f t="shared" si="24"/>
        <v>7.5</v>
      </c>
      <c r="AK76" s="42">
        <f t="shared" si="17"/>
        <v>21.913200000000003</v>
      </c>
      <c r="AL76" s="42">
        <f t="shared" si="17"/>
        <v>6.3433920000000006</v>
      </c>
      <c r="AM76" s="42">
        <v>0</v>
      </c>
      <c r="AN76" s="42">
        <f t="shared" si="25"/>
        <v>62.5</v>
      </c>
      <c r="AO76" s="42">
        <f t="shared" si="26"/>
        <v>187.5</v>
      </c>
      <c r="AP76" s="42">
        <f t="shared" si="27"/>
        <v>625</v>
      </c>
      <c r="AQ76" s="42">
        <f t="shared" si="28"/>
        <v>7184.9843840000003</v>
      </c>
      <c r="AR76" s="40">
        <f t="shared" si="29"/>
        <v>1248.5</v>
      </c>
      <c r="AS76" s="40">
        <f t="shared" si="30"/>
        <v>12485</v>
      </c>
      <c r="AT76" s="40">
        <v>7200</v>
      </c>
      <c r="AU76" s="40">
        <f t="shared" si="33"/>
        <v>165747.00038400001</v>
      </c>
      <c r="AV76" s="53"/>
      <c r="AW76" s="29"/>
      <c r="AX76" s="29"/>
      <c r="AY76" s="29"/>
      <c r="AZ76" s="29"/>
      <c r="BA76" s="30"/>
      <c r="BB76" s="30"/>
      <c r="BC76" s="30"/>
      <c r="BD76" s="30"/>
    </row>
    <row r="77" spans="2:56" ht="18" x14ac:dyDescent="0.25">
      <c r="B77" s="32">
        <v>73</v>
      </c>
      <c r="C77" s="33">
        <v>10</v>
      </c>
      <c r="D77" s="33">
        <v>1</v>
      </c>
      <c r="E77" s="32">
        <v>20</v>
      </c>
      <c r="F77" s="32">
        <v>73</v>
      </c>
      <c r="G77" s="32">
        <v>270</v>
      </c>
      <c r="H77" s="32"/>
      <c r="I77" s="34" t="s">
        <v>242</v>
      </c>
      <c r="J77" s="35" t="s">
        <v>243</v>
      </c>
      <c r="K77" s="37">
        <f>2014-1993</f>
        <v>21</v>
      </c>
      <c r="L77" s="33" t="s">
        <v>63</v>
      </c>
      <c r="M77" s="33">
        <v>13</v>
      </c>
      <c r="N77" s="33">
        <v>30</v>
      </c>
      <c r="O77" s="33" t="s">
        <v>57</v>
      </c>
      <c r="P77" s="38" t="s">
        <v>130</v>
      </c>
      <c r="Q77" s="39" t="s">
        <v>179</v>
      </c>
      <c r="R77" s="39" t="s">
        <v>60</v>
      </c>
      <c r="S77" s="40">
        <v>10161</v>
      </c>
      <c r="T77" s="40">
        <v>0</v>
      </c>
      <c r="U77" s="40">
        <f t="shared" si="19"/>
        <v>10161</v>
      </c>
      <c r="V77" s="40">
        <f>846+80</f>
        <v>926</v>
      </c>
      <c r="W77" s="40">
        <f>528+50</f>
        <v>578</v>
      </c>
      <c r="X77" s="40">
        <v>438.24</v>
      </c>
      <c r="Y77" s="40">
        <v>0</v>
      </c>
      <c r="Z77" s="40">
        <f t="shared" si="31"/>
        <v>1589.886</v>
      </c>
      <c r="AA77" s="40">
        <f t="shared" si="20"/>
        <v>317.97719999999998</v>
      </c>
      <c r="AB77" s="41">
        <v>626.70000000000005</v>
      </c>
      <c r="AC77" s="40">
        <f t="shared" si="21"/>
        <v>211.98480000000001</v>
      </c>
      <c r="AD77" s="40">
        <f t="shared" si="18"/>
        <v>5080.5</v>
      </c>
      <c r="AE77" s="42">
        <v>300</v>
      </c>
      <c r="AF77" s="42">
        <v>70.099999999999994</v>
      </c>
      <c r="AG77" s="40">
        <f t="shared" si="32"/>
        <v>55.515000000000001</v>
      </c>
      <c r="AH77" s="40">
        <f t="shared" si="22"/>
        <v>11.103</v>
      </c>
      <c r="AI77" s="40">
        <f t="shared" si="23"/>
        <v>63.595440000000004</v>
      </c>
      <c r="AJ77" s="40">
        <f t="shared" si="24"/>
        <v>7.402000000000001</v>
      </c>
      <c r="AK77" s="42">
        <f t="shared" si="17"/>
        <v>25.068000000000001</v>
      </c>
      <c r="AL77" s="42">
        <f t="shared" si="17"/>
        <v>8.4793920000000007</v>
      </c>
      <c r="AM77" s="42">
        <v>0</v>
      </c>
      <c r="AN77" s="42">
        <f t="shared" si="25"/>
        <v>50</v>
      </c>
      <c r="AO77" s="42">
        <f t="shared" si="26"/>
        <v>150</v>
      </c>
      <c r="AP77" s="42">
        <f t="shared" si="27"/>
        <v>500</v>
      </c>
      <c r="AQ77" s="42">
        <f t="shared" si="28"/>
        <v>7195.1539840000005</v>
      </c>
      <c r="AR77" s="40">
        <f t="shared" si="29"/>
        <v>1693.5</v>
      </c>
      <c r="AS77" s="40">
        <f t="shared" si="30"/>
        <v>16935</v>
      </c>
      <c r="AT77" s="40">
        <v>7200</v>
      </c>
      <c r="AU77" s="40">
        <f t="shared" si="33"/>
        <v>216301.60998400001</v>
      </c>
      <c r="AV77" s="53"/>
      <c r="AW77" s="29"/>
      <c r="AX77" s="29"/>
      <c r="AY77" s="29"/>
      <c r="AZ77" s="29"/>
      <c r="BA77" s="30"/>
      <c r="BB77" s="30"/>
      <c r="BC77" s="30"/>
      <c r="BD77" s="30"/>
    </row>
    <row r="78" spans="2:56" ht="18" x14ac:dyDescent="0.25">
      <c r="B78" s="32">
        <v>74</v>
      </c>
      <c r="C78" s="33">
        <v>10</v>
      </c>
      <c r="D78" s="33">
        <v>1</v>
      </c>
      <c r="E78" s="32">
        <v>20</v>
      </c>
      <c r="F78" s="32">
        <v>74</v>
      </c>
      <c r="G78" s="32">
        <v>270</v>
      </c>
      <c r="H78" s="32"/>
      <c r="I78" s="34" t="s">
        <v>244</v>
      </c>
      <c r="J78" s="35" t="s">
        <v>245</v>
      </c>
      <c r="K78" s="37">
        <f>2014-1992</f>
        <v>22</v>
      </c>
      <c r="L78" s="33" t="s">
        <v>56</v>
      </c>
      <c r="M78" s="33">
        <v>16</v>
      </c>
      <c r="N78" s="33">
        <v>40</v>
      </c>
      <c r="O78" s="33" t="s">
        <v>143</v>
      </c>
      <c r="P78" s="38" t="s">
        <v>144</v>
      </c>
      <c r="Q78" s="39" t="s">
        <v>246</v>
      </c>
      <c r="R78" s="39" t="s">
        <v>89</v>
      </c>
      <c r="S78" s="40">
        <v>17210</v>
      </c>
      <c r="T78" s="40">
        <v>0</v>
      </c>
      <c r="U78" s="40">
        <f t="shared" si="19"/>
        <v>17210</v>
      </c>
      <c r="V78" s="40">
        <v>1247</v>
      </c>
      <c r="W78" s="40">
        <v>779</v>
      </c>
      <c r="X78" s="40">
        <v>438.24</v>
      </c>
      <c r="Y78" s="40">
        <v>0</v>
      </c>
      <c r="Z78" s="40">
        <f t="shared" si="31"/>
        <v>2647.2360000000003</v>
      </c>
      <c r="AA78" s="40">
        <f t="shared" si="20"/>
        <v>529.44720000000007</v>
      </c>
      <c r="AB78" s="41">
        <v>829.73</v>
      </c>
      <c r="AC78" s="40">
        <f t="shared" si="21"/>
        <v>352.96480000000003</v>
      </c>
      <c r="AD78" s="40">
        <f t="shared" si="18"/>
        <v>8605</v>
      </c>
      <c r="AE78" s="42">
        <v>0</v>
      </c>
      <c r="AF78" s="42">
        <v>0</v>
      </c>
      <c r="AG78" s="40">
        <f t="shared" si="32"/>
        <v>0</v>
      </c>
      <c r="AH78" s="40">
        <f t="shared" si="22"/>
        <v>0</v>
      </c>
      <c r="AI78" s="40">
        <f t="shared" si="23"/>
        <v>105.88944000000002</v>
      </c>
      <c r="AJ78" s="40">
        <f t="shared" si="24"/>
        <v>0</v>
      </c>
      <c r="AK78" s="42">
        <f t="shared" si="17"/>
        <v>33.1892</v>
      </c>
      <c r="AL78" s="42">
        <f t="shared" si="17"/>
        <v>14.118592000000001</v>
      </c>
      <c r="AM78" s="42">
        <v>0</v>
      </c>
      <c r="AN78" s="42">
        <f t="shared" si="25"/>
        <v>0</v>
      </c>
      <c r="AO78" s="42">
        <f t="shared" si="26"/>
        <v>0</v>
      </c>
      <c r="AP78" s="42">
        <f t="shared" si="27"/>
        <v>0</v>
      </c>
      <c r="AQ78" s="42">
        <f t="shared" si="28"/>
        <v>1838.3667840000003</v>
      </c>
      <c r="AR78" s="40">
        <f t="shared" si="29"/>
        <v>2868.333333333333</v>
      </c>
      <c r="AS78" s="40">
        <f t="shared" si="30"/>
        <v>28683.333333333332</v>
      </c>
      <c r="AT78" s="40">
        <v>0</v>
      </c>
      <c r="AU78" s="40">
        <f t="shared" si="33"/>
        <v>330398.44945066667</v>
      </c>
      <c r="AV78" s="61"/>
      <c r="AW78" s="29"/>
      <c r="AX78" s="29"/>
      <c r="AY78" s="29"/>
      <c r="AZ78" s="29"/>
      <c r="BA78" s="30"/>
      <c r="BB78" s="30"/>
      <c r="BC78" s="30"/>
      <c r="BD78" s="30"/>
    </row>
    <row r="79" spans="2:56" ht="18" x14ac:dyDescent="0.25">
      <c r="B79" s="32">
        <v>75</v>
      </c>
      <c r="C79" s="33">
        <v>10</v>
      </c>
      <c r="D79" s="33">
        <v>1</v>
      </c>
      <c r="E79" s="32">
        <v>20</v>
      </c>
      <c r="F79" s="32">
        <v>75</v>
      </c>
      <c r="G79" s="32">
        <v>270</v>
      </c>
      <c r="H79" s="32"/>
      <c r="I79" s="34" t="s">
        <v>247</v>
      </c>
      <c r="J79" s="35" t="s">
        <v>248</v>
      </c>
      <c r="K79" s="37">
        <f>2014-1995</f>
        <v>19</v>
      </c>
      <c r="L79" s="33" t="s">
        <v>63</v>
      </c>
      <c r="M79" s="33">
        <v>4</v>
      </c>
      <c r="N79" s="33">
        <v>30</v>
      </c>
      <c r="O79" s="33" t="s">
        <v>57</v>
      </c>
      <c r="P79" s="38" t="s">
        <v>68</v>
      </c>
      <c r="Q79" s="39" t="s">
        <v>249</v>
      </c>
      <c r="R79" s="39" t="s">
        <v>60</v>
      </c>
      <c r="S79" s="40">
        <v>7491</v>
      </c>
      <c r="T79" s="40">
        <v>0</v>
      </c>
      <c r="U79" s="40">
        <f t="shared" si="19"/>
        <v>7491</v>
      </c>
      <c r="V79" s="40">
        <v>682</v>
      </c>
      <c r="W79" s="40">
        <v>412</v>
      </c>
      <c r="X79" s="40">
        <v>365</v>
      </c>
      <c r="Y79" s="40">
        <v>0</v>
      </c>
      <c r="Z79" s="40">
        <f t="shared" si="31"/>
        <v>1178.3999999999999</v>
      </c>
      <c r="AA79" s="40">
        <f t="shared" si="20"/>
        <v>235.67999999999998</v>
      </c>
      <c r="AB79" s="41">
        <v>547.83000000000004</v>
      </c>
      <c r="AC79" s="40">
        <f t="shared" si="21"/>
        <v>157.12</v>
      </c>
      <c r="AD79" s="40">
        <f t="shared" si="18"/>
        <v>3745.5</v>
      </c>
      <c r="AE79" s="42">
        <v>375</v>
      </c>
      <c r="AF79" s="42">
        <v>0</v>
      </c>
      <c r="AG79" s="40">
        <f t="shared" si="32"/>
        <v>56.25</v>
      </c>
      <c r="AH79" s="40">
        <f t="shared" si="22"/>
        <v>11.25</v>
      </c>
      <c r="AI79" s="40">
        <f t="shared" si="23"/>
        <v>47.135999999999996</v>
      </c>
      <c r="AJ79" s="40">
        <f t="shared" si="24"/>
        <v>7.5</v>
      </c>
      <c r="AK79" s="42">
        <f t="shared" si="17"/>
        <v>21.913200000000003</v>
      </c>
      <c r="AL79" s="42">
        <f t="shared" si="17"/>
        <v>6.2848000000000006</v>
      </c>
      <c r="AM79" s="42">
        <v>0</v>
      </c>
      <c r="AN79" s="42">
        <f t="shared" si="25"/>
        <v>62.5</v>
      </c>
      <c r="AO79" s="42">
        <f t="shared" si="26"/>
        <v>187.5</v>
      </c>
      <c r="AP79" s="42">
        <f t="shared" si="27"/>
        <v>625</v>
      </c>
      <c r="AQ79" s="42">
        <f t="shared" si="28"/>
        <v>7179.0079999999998</v>
      </c>
      <c r="AR79" s="40">
        <f t="shared" si="29"/>
        <v>1248.5</v>
      </c>
      <c r="AS79" s="40">
        <f t="shared" si="30"/>
        <v>12485</v>
      </c>
      <c r="AT79" s="40">
        <v>7200</v>
      </c>
      <c r="AU79" s="40">
        <f t="shared" si="33"/>
        <v>164686.36800000002</v>
      </c>
      <c r="AV79" s="61"/>
      <c r="AW79" s="29"/>
      <c r="AX79" s="29"/>
      <c r="AY79" s="29"/>
      <c r="AZ79" s="29"/>
      <c r="BA79" s="30"/>
      <c r="BB79" s="30"/>
      <c r="BC79" s="30"/>
      <c r="BD79" s="30"/>
    </row>
    <row r="80" spans="2:56" ht="18" x14ac:dyDescent="0.25">
      <c r="B80" s="32">
        <v>76</v>
      </c>
      <c r="C80" s="33">
        <v>10</v>
      </c>
      <c r="D80" s="33">
        <v>1</v>
      </c>
      <c r="E80" s="32">
        <v>20</v>
      </c>
      <c r="F80" s="32">
        <v>76</v>
      </c>
      <c r="G80" s="32">
        <v>270</v>
      </c>
      <c r="H80" s="32"/>
      <c r="I80" s="34" t="s">
        <v>250</v>
      </c>
      <c r="J80" s="35" t="s">
        <v>251</v>
      </c>
      <c r="K80" s="37">
        <f>2014-1996</f>
        <v>18</v>
      </c>
      <c r="L80" s="33" t="s">
        <v>56</v>
      </c>
      <c r="M80" s="33">
        <v>3</v>
      </c>
      <c r="N80" s="33">
        <v>30</v>
      </c>
      <c r="O80" s="33" t="s">
        <v>57</v>
      </c>
      <c r="P80" s="38" t="s">
        <v>64</v>
      </c>
      <c r="Q80" s="39" t="s">
        <v>65</v>
      </c>
      <c r="R80" s="39" t="s">
        <v>60</v>
      </c>
      <c r="S80" s="40">
        <v>7227.3</v>
      </c>
      <c r="T80" s="40">
        <v>0</v>
      </c>
      <c r="U80" s="40">
        <f t="shared" si="19"/>
        <v>7227.3</v>
      </c>
      <c r="V80" s="40">
        <v>672</v>
      </c>
      <c r="W80" s="40">
        <v>402</v>
      </c>
      <c r="X80" s="40">
        <v>365</v>
      </c>
      <c r="Y80" s="40">
        <v>0</v>
      </c>
      <c r="Z80" s="40">
        <f t="shared" si="31"/>
        <v>1138.845</v>
      </c>
      <c r="AA80" s="40">
        <f t="shared" si="20"/>
        <v>227.76900000000001</v>
      </c>
      <c r="AB80" s="41">
        <v>540.38</v>
      </c>
      <c r="AC80" s="40">
        <f t="shared" si="21"/>
        <v>151.846</v>
      </c>
      <c r="AD80" s="40">
        <f t="shared" si="18"/>
        <v>3613.65</v>
      </c>
      <c r="AE80" s="42">
        <v>375</v>
      </c>
      <c r="AF80" s="42">
        <v>0</v>
      </c>
      <c r="AG80" s="40">
        <f t="shared" si="32"/>
        <v>56.25</v>
      </c>
      <c r="AH80" s="40">
        <f t="shared" si="22"/>
        <v>11.25</v>
      </c>
      <c r="AI80" s="40">
        <f t="shared" si="23"/>
        <v>45.553800000000003</v>
      </c>
      <c r="AJ80" s="40">
        <f t="shared" si="24"/>
        <v>7.5</v>
      </c>
      <c r="AK80" s="42">
        <f t="shared" si="17"/>
        <v>21.615200000000002</v>
      </c>
      <c r="AL80" s="42">
        <f t="shared" si="17"/>
        <v>6.0738400000000006</v>
      </c>
      <c r="AM80" s="42">
        <v>0</v>
      </c>
      <c r="AN80" s="42">
        <f t="shared" si="25"/>
        <v>62.5</v>
      </c>
      <c r="AO80" s="42">
        <f t="shared" si="26"/>
        <v>187.5</v>
      </c>
      <c r="AP80" s="42">
        <f t="shared" si="27"/>
        <v>625</v>
      </c>
      <c r="AQ80" s="42">
        <f t="shared" si="28"/>
        <v>7153.9140800000005</v>
      </c>
      <c r="AR80" s="40">
        <f t="shared" si="29"/>
        <v>1204.55</v>
      </c>
      <c r="AS80" s="40">
        <f t="shared" si="30"/>
        <v>12045.5</v>
      </c>
      <c r="AT80" s="40">
        <v>7200</v>
      </c>
      <c r="AU80" s="40">
        <f t="shared" si="33"/>
        <v>159919.29407999996</v>
      </c>
      <c r="AV80" s="44"/>
      <c r="AW80" s="29"/>
      <c r="AX80" s="29"/>
      <c r="AY80" s="29"/>
      <c r="AZ80" s="29"/>
      <c r="BA80" s="30"/>
      <c r="BB80" s="30"/>
      <c r="BC80" s="30"/>
      <c r="BD80" s="30"/>
    </row>
    <row r="81" spans="2:56" ht="18" x14ac:dyDescent="0.25">
      <c r="B81" s="32">
        <v>77</v>
      </c>
      <c r="C81" s="33">
        <v>10</v>
      </c>
      <c r="D81" s="33">
        <v>1</v>
      </c>
      <c r="E81" s="32">
        <v>20</v>
      </c>
      <c r="F81" s="32">
        <v>77</v>
      </c>
      <c r="G81" s="32">
        <v>270</v>
      </c>
      <c r="H81" s="32"/>
      <c r="I81" s="34" t="s">
        <v>252</v>
      </c>
      <c r="J81" s="35" t="s">
        <v>253</v>
      </c>
      <c r="K81" s="37">
        <f>2014-2007</f>
        <v>7</v>
      </c>
      <c r="L81" s="33" t="s">
        <v>63</v>
      </c>
      <c r="M81" s="33">
        <v>4</v>
      </c>
      <c r="N81" s="33">
        <v>30</v>
      </c>
      <c r="O81" s="33" t="s">
        <v>57</v>
      </c>
      <c r="P81" s="38" t="s">
        <v>68</v>
      </c>
      <c r="Q81" s="62" t="s">
        <v>59</v>
      </c>
      <c r="R81" s="62" t="s">
        <v>60</v>
      </c>
      <c r="S81" s="40">
        <v>7491</v>
      </c>
      <c r="T81" s="40">
        <v>0</v>
      </c>
      <c r="U81" s="40">
        <f t="shared" si="19"/>
        <v>7491</v>
      </c>
      <c r="V81" s="40">
        <v>682</v>
      </c>
      <c r="W81" s="40">
        <v>412</v>
      </c>
      <c r="X81" s="40">
        <v>219.2</v>
      </c>
      <c r="Y81" s="40">
        <v>0</v>
      </c>
      <c r="Z81" s="40">
        <f t="shared" si="31"/>
        <v>1156.53</v>
      </c>
      <c r="AA81" s="40">
        <f t="shared" si="20"/>
        <v>231.30599999999998</v>
      </c>
      <c r="AB81" s="41">
        <v>547.57000000000005</v>
      </c>
      <c r="AC81" s="40">
        <f t="shared" si="21"/>
        <v>154.20400000000001</v>
      </c>
      <c r="AD81" s="40">
        <f t="shared" si="18"/>
        <v>3745.5</v>
      </c>
      <c r="AE81" s="42">
        <v>375</v>
      </c>
      <c r="AF81" s="42">
        <v>70.099999999999994</v>
      </c>
      <c r="AG81" s="40">
        <f t="shared" si="32"/>
        <v>66.765000000000001</v>
      </c>
      <c r="AH81" s="40">
        <f t="shared" si="22"/>
        <v>13.353</v>
      </c>
      <c r="AI81" s="40">
        <f t="shared" si="23"/>
        <v>46.261200000000002</v>
      </c>
      <c r="AJ81" s="40">
        <f t="shared" si="24"/>
        <v>8.902000000000001</v>
      </c>
      <c r="AK81" s="42">
        <f t="shared" si="17"/>
        <v>21.902800000000003</v>
      </c>
      <c r="AL81" s="42">
        <f t="shared" si="17"/>
        <v>6.1681600000000003</v>
      </c>
      <c r="AM81" s="42">
        <v>0</v>
      </c>
      <c r="AN81" s="42">
        <f t="shared" si="25"/>
        <v>62.5</v>
      </c>
      <c r="AO81" s="42">
        <f t="shared" si="26"/>
        <v>187.5</v>
      </c>
      <c r="AP81" s="42">
        <f t="shared" si="27"/>
        <v>625</v>
      </c>
      <c r="AQ81" s="42">
        <f t="shared" si="28"/>
        <v>8176.4259200000006</v>
      </c>
      <c r="AR81" s="40">
        <f t="shared" si="29"/>
        <v>1248.5</v>
      </c>
      <c r="AS81" s="40">
        <f t="shared" si="30"/>
        <v>12485</v>
      </c>
      <c r="AT81" s="40">
        <v>7200</v>
      </c>
      <c r="AU81" s="40">
        <f t="shared" si="33"/>
        <v>163581.14592000001</v>
      </c>
      <c r="AV81" s="44"/>
      <c r="AW81" s="29"/>
      <c r="AX81" s="29"/>
      <c r="AY81" s="29"/>
      <c r="AZ81" s="29"/>
      <c r="BA81" s="30"/>
      <c r="BB81" s="30"/>
      <c r="BC81" s="30"/>
      <c r="BD81" s="30"/>
    </row>
    <row r="82" spans="2:56" ht="18" x14ac:dyDescent="0.25">
      <c r="B82" s="32">
        <v>78</v>
      </c>
      <c r="C82" s="33">
        <v>10</v>
      </c>
      <c r="D82" s="33">
        <v>1</v>
      </c>
      <c r="E82" s="32">
        <v>20</v>
      </c>
      <c r="F82" s="32">
        <v>78</v>
      </c>
      <c r="G82" s="32">
        <v>270</v>
      </c>
      <c r="H82" s="32"/>
      <c r="I82" s="34" t="s">
        <v>254</v>
      </c>
      <c r="J82" s="35" t="s">
        <v>255</v>
      </c>
      <c r="K82" s="37">
        <f>2014-1999</f>
        <v>15</v>
      </c>
      <c r="L82" s="33" t="s">
        <v>56</v>
      </c>
      <c r="M82" s="33">
        <v>3</v>
      </c>
      <c r="N82" s="33">
        <v>30</v>
      </c>
      <c r="O82" s="33" t="s">
        <v>57</v>
      </c>
      <c r="P82" s="38" t="s">
        <v>64</v>
      </c>
      <c r="Q82" s="39" t="s">
        <v>65</v>
      </c>
      <c r="R82" s="39" t="s">
        <v>60</v>
      </c>
      <c r="S82" s="40">
        <v>7227.3</v>
      </c>
      <c r="T82" s="40">
        <v>0</v>
      </c>
      <c r="U82" s="40">
        <f t="shared" si="19"/>
        <v>7227.3</v>
      </c>
      <c r="V82" s="40">
        <v>672</v>
      </c>
      <c r="W82" s="40">
        <v>402</v>
      </c>
      <c r="X82" s="40">
        <v>365.2</v>
      </c>
      <c r="Y82" s="40">
        <v>0</v>
      </c>
      <c r="Z82" s="40">
        <f t="shared" si="31"/>
        <v>1138.875</v>
      </c>
      <c r="AA82" s="40">
        <f t="shared" si="20"/>
        <v>227.77500000000001</v>
      </c>
      <c r="AB82" s="41">
        <v>540.37</v>
      </c>
      <c r="AC82" s="40">
        <f t="shared" si="21"/>
        <v>151.85</v>
      </c>
      <c r="AD82" s="40">
        <f t="shared" si="18"/>
        <v>3613.65</v>
      </c>
      <c r="AE82" s="42">
        <v>375</v>
      </c>
      <c r="AF82" s="42">
        <v>0</v>
      </c>
      <c r="AG82" s="40">
        <f t="shared" si="32"/>
        <v>56.25</v>
      </c>
      <c r="AH82" s="40">
        <f t="shared" si="22"/>
        <v>11.25</v>
      </c>
      <c r="AI82" s="40">
        <f t="shared" si="23"/>
        <v>45.555</v>
      </c>
      <c r="AJ82" s="40">
        <f t="shared" si="24"/>
        <v>7.5</v>
      </c>
      <c r="AK82" s="42">
        <f t="shared" si="17"/>
        <v>21.614799999999999</v>
      </c>
      <c r="AL82" s="42">
        <f t="shared" si="17"/>
        <v>6.0739999999999998</v>
      </c>
      <c r="AM82" s="42">
        <v>0</v>
      </c>
      <c r="AN82" s="42">
        <f t="shared" si="25"/>
        <v>62.5</v>
      </c>
      <c r="AO82" s="42">
        <f t="shared" si="26"/>
        <v>187.5</v>
      </c>
      <c r="AP82" s="42">
        <f t="shared" si="27"/>
        <v>625</v>
      </c>
      <c r="AQ82" s="42">
        <f t="shared" si="28"/>
        <v>7153.9255999999996</v>
      </c>
      <c r="AR82" s="40">
        <f t="shared" si="29"/>
        <v>1204.55</v>
      </c>
      <c r="AS82" s="40">
        <f t="shared" si="30"/>
        <v>12045.5</v>
      </c>
      <c r="AT82" s="40">
        <v>7200</v>
      </c>
      <c r="AU82" s="40">
        <f t="shared" si="33"/>
        <v>159922.0656</v>
      </c>
      <c r="AV82" s="44"/>
      <c r="AW82" s="29"/>
      <c r="AX82" s="29"/>
      <c r="AY82" s="29"/>
      <c r="AZ82" s="29"/>
      <c r="BA82" s="30"/>
      <c r="BB82" s="30"/>
      <c r="BC82" s="30"/>
      <c r="BD82" s="30"/>
    </row>
    <row r="83" spans="2:56" ht="18" x14ac:dyDescent="0.25">
      <c r="B83" s="32">
        <v>79</v>
      </c>
      <c r="C83" s="33">
        <v>10</v>
      </c>
      <c r="D83" s="33">
        <v>1</v>
      </c>
      <c r="E83" s="32">
        <v>20</v>
      </c>
      <c r="F83" s="32">
        <v>79</v>
      </c>
      <c r="G83" s="32">
        <v>270</v>
      </c>
      <c r="H83" s="32"/>
      <c r="I83" s="34" t="s">
        <v>256</v>
      </c>
      <c r="J83" s="35" t="s">
        <v>257</v>
      </c>
      <c r="K83" s="37">
        <f>2014-1992</f>
        <v>22</v>
      </c>
      <c r="L83" s="33" t="s">
        <v>56</v>
      </c>
      <c r="M83" s="33">
        <v>3</v>
      </c>
      <c r="N83" s="33">
        <v>30</v>
      </c>
      <c r="O83" s="33" t="s">
        <v>57</v>
      </c>
      <c r="P83" s="38" t="s">
        <v>64</v>
      </c>
      <c r="Q83" s="39" t="s">
        <v>65</v>
      </c>
      <c r="R83" s="39" t="s">
        <v>60</v>
      </c>
      <c r="S83" s="40">
        <v>7227.3</v>
      </c>
      <c r="T83" s="40">
        <v>0</v>
      </c>
      <c r="U83" s="40">
        <f t="shared" si="19"/>
        <v>7227.3</v>
      </c>
      <c r="V83" s="40">
        <v>672</v>
      </c>
      <c r="W83" s="40">
        <v>402</v>
      </c>
      <c r="X83" s="40">
        <v>438</v>
      </c>
      <c r="Y83" s="40">
        <v>0</v>
      </c>
      <c r="Z83" s="40">
        <f t="shared" si="31"/>
        <v>1149.7950000000001</v>
      </c>
      <c r="AA83" s="40">
        <f t="shared" si="20"/>
        <v>229.959</v>
      </c>
      <c r="AB83" s="41">
        <v>540.51</v>
      </c>
      <c r="AC83" s="40">
        <f t="shared" si="21"/>
        <v>153.30600000000001</v>
      </c>
      <c r="AD83" s="40">
        <f t="shared" si="18"/>
        <v>3613.65</v>
      </c>
      <c r="AE83" s="42">
        <v>375</v>
      </c>
      <c r="AF83" s="42">
        <v>0</v>
      </c>
      <c r="AG83" s="40">
        <f t="shared" si="32"/>
        <v>56.25</v>
      </c>
      <c r="AH83" s="40">
        <f t="shared" si="22"/>
        <v>11.25</v>
      </c>
      <c r="AI83" s="40">
        <f t="shared" si="23"/>
        <v>45.991800000000005</v>
      </c>
      <c r="AJ83" s="40">
        <f t="shared" si="24"/>
        <v>7.5</v>
      </c>
      <c r="AK83" s="42">
        <f t="shared" si="17"/>
        <v>21.6204</v>
      </c>
      <c r="AL83" s="42">
        <f t="shared" si="17"/>
        <v>6.1322400000000004</v>
      </c>
      <c r="AM83" s="42">
        <v>0</v>
      </c>
      <c r="AN83" s="42">
        <f t="shared" si="25"/>
        <v>62.5</v>
      </c>
      <c r="AO83" s="42">
        <f t="shared" si="26"/>
        <v>187.5</v>
      </c>
      <c r="AP83" s="42">
        <f t="shared" si="27"/>
        <v>625</v>
      </c>
      <c r="AQ83" s="42">
        <f t="shared" si="28"/>
        <v>7159.9332800000011</v>
      </c>
      <c r="AR83" s="40">
        <f t="shared" si="29"/>
        <v>1204.55</v>
      </c>
      <c r="AS83" s="40">
        <f t="shared" si="30"/>
        <v>12045.5</v>
      </c>
      <c r="AT83" s="40">
        <v>7200</v>
      </c>
      <c r="AU83" s="40">
        <f t="shared" si="33"/>
        <v>160978.07328000001</v>
      </c>
      <c r="AV83" s="44"/>
      <c r="AW83" s="29"/>
      <c r="AX83" s="29"/>
      <c r="AY83" s="29"/>
      <c r="AZ83" s="29"/>
      <c r="BA83" s="30"/>
      <c r="BB83" s="30"/>
      <c r="BC83" s="30"/>
      <c r="BD83" s="30"/>
    </row>
    <row r="84" spans="2:56" ht="18" x14ac:dyDescent="0.25">
      <c r="B84" s="32">
        <v>80</v>
      </c>
      <c r="C84" s="33">
        <v>10</v>
      </c>
      <c r="D84" s="33">
        <v>1</v>
      </c>
      <c r="E84" s="32">
        <v>20</v>
      </c>
      <c r="F84" s="32">
        <v>80</v>
      </c>
      <c r="G84" s="32">
        <v>270</v>
      </c>
      <c r="H84" s="32"/>
      <c r="I84" s="34" t="s">
        <v>258</v>
      </c>
      <c r="J84" s="35" t="s">
        <v>259</v>
      </c>
      <c r="K84" s="37">
        <f>2014-1997</f>
        <v>17</v>
      </c>
      <c r="L84" s="33" t="s">
        <v>56</v>
      </c>
      <c r="M84" s="33">
        <v>4</v>
      </c>
      <c r="N84" s="33">
        <v>30</v>
      </c>
      <c r="O84" s="33" t="s">
        <v>57</v>
      </c>
      <c r="P84" s="38" t="s">
        <v>68</v>
      </c>
      <c r="Q84" s="39" t="s">
        <v>59</v>
      </c>
      <c r="R84" s="39" t="s">
        <v>60</v>
      </c>
      <c r="S84" s="40">
        <v>7491</v>
      </c>
      <c r="T84" s="40">
        <v>0</v>
      </c>
      <c r="U84" s="40">
        <f t="shared" si="19"/>
        <v>7491</v>
      </c>
      <c r="V84" s="40">
        <v>682</v>
      </c>
      <c r="W84" s="40">
        <v>412</v>
      </c>
      <c r="X84" s="40">
        <v>365.2</v>
      </c>
      <c r="Y84" s="40">
        <f>U84/30*25%*52</f>
        <v>3246.1</v>
      </c>
      <c r="Z84" s="40">
        <f t="shared" si="31"/>
        <v>1178.4299999999998</v>
      </c>
      <c r="AA84" s="40">
        <f t="shared" si="20"/>
        <v>235.68599999999998</v>
      </c>
      <c r="AB84" s="41">
        <v>547.83000000000004</v>
      </c>
      <c r="AC84" s="40">
        <f t="shared" si="21"/>
        <v>157.124</v>
      </c>
      <c r="AD84" s="40">
        <f t="shared" si="18"/>
        <v>3745.5</v>
      </c>
      <c r="AE84" s="42">
        <v>375</v>
      </c>
      <c r="AF84" s="42">
        <v>70.099999999999994</v>
      </c>
      <c r="AG84" s="40">
        <f t="shared" si="32"/>
        <v>66.765000000000001</v>
      </c>
      <c r="AH84" s="40">
        <f t="shared" si="22"/>
        <v>13.353</v>
      </c>
      <c r="AI84" s="40">
        <f t="shared" si="23"/>
        <v>47.137199999999993</v>
      </c>
      <c r="AJ84" s="40">
        <f t="shared" si="24"/>
        <v>8.902000000000001</v>
      </c>
      <c r="AK84" s="42">
        <f t="shared" si="17"/>
        <v>21.913200000000003</v>
      </c>
      <c r="AL84" s="42">
        <f t="shared" si="17"/>
        <v>6.2849599999999999</v>
      </c>
      <c r="AM84" s="42">
        <f>U84*6.58%</f>
        <v>492.90779999999995</v>
      </c>
      <c r="AN84" s="42">
        <f t="shared" si="25"/>
        <v>62.5</v>
      </c>
      <c r="AO84" s="42">
        <f t="shared" si="26"/>
        <v>187.5</v>
      </c>
      <c r="AP84" s="42">
        <f t="shared" si="27"/>
        <v>625</v>
      </c>
      <c r="AQ84" s="42">
        <f t="shared" si="28"/>
        <v>8681.37212</v>
      </c>
      <c r="AR84" s="40">
        <f t="shared" si="29"/>
        <v>1248.5</v>
      </c>
      <c r="AS84" s="40">
        <f t="shared" si="30"/>
        <v>12485</v>
      </c>
      <c r="AT84" s="40">
        <v>7200</v>
      </c>
      <c r="AU84" s="40">
        <f t="shared" si="33"/>
        <v>169437.71211999998</v>
      </c>
      <c r="AV84" s="43"/>
      <c r="AW84" s="29"/>
      <c r="AX84" s="29"/>
      <c r="AY84" s="46"/>
      <c r="AZ84" s="46"/>
      <c r="BA84" s="46"/>
      <c r="BB84" s="46"/>
      <c r="BC84" s="46"/>
      <c r="BD84" s="46"/>
    </row>
    <row r="85" spans="2:56" ht="18" x14ac:dyDescent="0.25">
      <c r="B85" s="32">
        <v>81</v>
      </c>
      <c r="C85" s="33">
        <v>10</v>
      </c>
      <c r="D85" s="33">
        <v>1</v>
      </c>
      <c r="E85" s="32">
        <v>20</v>
      </c>
      <c r="F85" s="32">
        <v>81</v>
      </c>
      <c r="G85" s="32">
        <v>270</v>
      </c>
      <c r="H85" s="32"/>
      <c r="I85" s="34" t="s">
        <v>260</v>
      </c>
      <c r="J85" s="35" t="s">
        <v>261</v>
      </c>
      <c r="K85" s="37">
        <f>2014-2001</f>
        <v>13</v>
      </c>
      <c r="L85" s="33" t="s">
        <v>56</v>
      </c>
      <c r="M85" s="33">
        <v>8</v>
      </c>
      <c r="N85" s="33">
        <v>40</v>
      </c>
      <c r="O85" s="33" t="s">
        <v>57</v>
      </c>
      <c r="P85" s="38" t="s">
        <v>262</v>
      </c>
      <c r="Q85" s="39" t="s">
        <v>211</v>
      </c>
      <c r="R85" s="39" t="s">
        <v>211</v>
      </c>
      <c r="S85" s="40">
        <v>11272.5</v>
      </c>
      <c r="T85" s="40">
        <v>0</v>
      </c>
      <c r="U85" s="40">
        <f t="shared" si="19"/>
        <v>11272.5</v>
      </c>
      <c r="V85" s="40">
        <v>1021</v>
      </c>
      <c r="W85" s="40">
        <v>695</v>
      </c>
      <c r="X85" s="40">
        <v>292.13</v>
      </c>
      <c r="Y85" s="40">
        <v>0</v>
      </c>
      <c r="Z85" s="40">
        <f t="shared" si="31"/>
        <v>1734.6944999999998</v>
      </c>
      <c r="AA85" s="40">
        <f t="shared" si="20"/>
        <v>346.93889999999999</v>
      </c>
      <c r="AB85" s="41">
        <v>659.16</v>
      </c>
      <c r="AC85" s="40">
        <f t="shared" si="21"/>
        <v>231.29259999999999</v>
      </c>
      <c r="AD85" s="40">
        <f t="shared" si="18"/>
        <v>5636.25</v>
      </c>
      <c r="AE85" s="42">
        <v>450</v>
      </c>
      <c r="AF85" s="42">
        <v>0</v>
      </c>
      <c r="AG85" s="40">
        <f t="shared" si="32"/>
        <v>67.5</v>
      </c>
      <c r="AH85" s="40">
        <f t="shared" si="22"/>
        <v>13.5</v>
      </c>
      <c r="AI85" s="40">
        <f t="shared" si="23"/>
        <v>69.387779999999992</v>
      </c>
      <c r="AJ85" s="40">
        <f t="shared" si="24"/>
        <v>9</v>
      </c>
      <c r="AK85" s="42">
        <f t="shared" si="17"/>
        <v>26.366399999999999</v>
      </c>
      <c r="AL85" s="42">
        <f t="shared" si="17"/>
        <v>9.2517040000000001</v>
      </c>
      <c r="AM85" s="42">
        <v>0</v>
      </c>
      <c r="AN85" s="42">
        <f t="shared" si="25"/>
        <v>75</v>
      </c>
      <c r="AO85" s="42">
        <f t="shared" si="26"/>
        <v>225</v>
      </c>
      <c r="AP85" s="42">
        <f t="shared" si="27"/>
        <v>750</v>
      </c>
      <c r="AQ85" s="42">
        <f t="shared" si="28"/>
        <v>8790.070608</v>
      </c>
      <c r="AR85" s="40">
        <f t="shared" si="29"/>
        <v>1878.75</v>
      </c>
      <c r="AS85" s="40">
        <f t="shared" si="30"/>
        <v>18787.5</v>
      </c>
      <c r="AT85" s="40">
        <v>7200</v>
      </c>
      <c r="AU85" s="40">
        <f t="shared" si="33"/>
        <v>237325.16260799998</v>
      </c>
      <c r="AV85" s="47"/>
      <c r="AW85" s="29"/>
      <c r="AX85" s="29"/>
      <c r="AY85" s="46"/>
      <c r="AZ85" s="46"/>
      <c r="BA85" s="58"/>
      <c r="BB85" s="58"/>
      <c r="BC85" s="58"/>
      <c r="BD85" s="58"/>
    </row>
    <row r="86" spans="2:56" ht="18" x14ac:dyDescent="0.25">
      <c r="B86" s="32">
        <v>82</v>
      </c>
      <c r="C86" s="33">
        <v>10</v>
      </c>
      <c r="D86" s="33">
        <v>1</v>
      </c>
      <c r="E86" s="32">
        <v>20</v>
      </c>
      <c r="F86" s="32">
        <v>82</v>
      </c>
      <c r="G86" s="32">
        <v>270</v>
      </c>
      <c r="H86" s="56"/>
      <c r="I86" s="34" t="s">
        <v>263</v>
      </c>
      <c r="J86" s="35" t="s">
        <v>264</v>
      </c>
      <c r="K86" s="37">
        <f>2014-1998</f>
        <v>16</v>
      </c>
      <c r="L86" s="33" t="s">
        <v>63</v>
      </c>
      <c r="M86" s="33">
        <v>13</v>
      </c>
      <c r="N86" s="33">
        <v>30</v>
      </c>
      <c r="O86" s="33" t="s">
        <v>57</v>
      </c>
      <c r="P86" s="38" t="s">
        <v>130</v>
      </c>
      <c r="Q86" s="39" t="s">
        <v>179</v>
      </c>
      <c r="R86" s="39" t="s">
        <v>60</v>
      </c>
      <c r="S86" s="40">
        <v>10161</v>
      </c>
      <c r="T86" s="40">
        <v>0</v>
      </c>
      <c r="U86" s="40">
        <f t="shared" si="19"/>
        <v>10161</v>
      </c>
      <c r="V86" s="40">
        <f>846+80</f>
        <v>926</v>
      </c>
      <c r="W86" s="40">
        <f>528+50</f>
        <v>578</v>
      </c>
      <c r="X86" s="40">
        <v>365.2</v>
      </c>
      <c r="Y86" s="40">
        <v>0</v>
      </c>
      <c r="Z86" s="40">
        <f t="shared" si="31"/>
        <v>1578.93</v>
      </c>
      <c r="AA86" s="40">
        <f t="shared" si="20"/>
        <v>315.786</v>
      </c>
      <c r="AB86" s="41">
        <v>626.57000000000005</v>
      </c>
      <c r="AC86" s="40">
        <f t="shared" si="21"/>
        <v>210.52400000000003</v>
      </c>
      <c r="AD86" s="40">
        <f t="shared" si="18"/>
        <v>5080.5</v>
      </c>
      <c r="AE86" s="42">
        <v>300</v>
      </c>
      <c r="AF86" s="42">
        <v>0</v>
      </c>
      <c r="AG86" s="40">
        <f t="shared" si="32"/>
        <v>45</v>
      </c>
      <c r="AH86" s="40">
        <f t="shared" si="22"/>
        <v>9</v>
      </c>
      <c r="AI86" s="40">
        <f t="shared" si="23"/>
        <v>63.157200000000003</v>
      </c>
      <c r="AJ86" s="40">
        <f t="shared" si="24"/>
        <v>6</v>
      </c>
      <c r="AK86" s="42">
        <f t="shared" si="17"/>
        <v>25.062800000000003</v>
      </c>
      <c r="AL86" s="42">
        <f t="shared" si="17"/>
        <v>8.4209600000000009</v>
      </c>
      <c r="AM86" s="42">
        <v>0</v>
      </c>
      <c r="AN86" s="42">
        <f t="shared" si="25"/>
        <v>50</v>
      </c>
      <c r="AO86" s="42">
        <f t="shared" si="26"/>
        <v>150</v>
      </c>
      <c r="AP86" s="42">
        <f t="shared" si="27"/>
        <v>500</v>
      </c>
      <c r="AQ86" s="42">
        <f t="shared" si="28"/>
        <v>6179.6915199999994</v>
      </c>
      <c r="AR86" s="40">
        <f t="shared" si="29"/>
        <v>1693.5</v>
      </c>
      <c r="AS86" s="40">
        <f t="shared" si="30"/>
        <v>16935</v>
      </c>
      <c r="AT86" s="40">
        <v>7200</v>
      </c>
      <c r="AU86" s="40">
        <f t="shared" si="33"/>
        <v>214232.81151999999</v>
      </c>
      <c r="AV86" s="43"/>
      <c r="AW86" s="29"/>
      <c r="AX86" s="29"/>
      <c r="AY86" s="29"/>
      <c r="AZ86" s="29"/>
      <c r="BA86" s="30"/>
      <c r="BB86" s="30"/>
      <c r="BC86" s="30"/>
      <c r="BD86" s="30"/>
    </row>
    <row r="87" spans="2:56" ht="18" x14ac:dyDescent="0.25">
      <c r="B87" s="32">
        <v>83</v>
      </c>
      <c r="C87" s="33">
        <v>10</v>
      </c>
      <c r="D87" s="33">
        <v>1</v>
      </c>
      <c r="E87" s="32">
        <v>20</v>
      </c>
      <c r="F87" s="32">
        <v>83</v>
      </c>
      <c r="G87" s="32">
        <v>270</v>
      </c>
      <c r="H87" s="32"/>
      <c r="I87" s="34" t="s">
        <v>265</v>
      </c>
      <c r="J87" s="35" t="s">
        <v>266</v>
      </c>
      <c r="K87" s="37">
        <f>2014-2005</f>
        <v>9</v>
      </c>
      <c r="L87" s="33" t="s">
        <v>63</v>
      </c>
      <c r="M87" s="33">
        <v>3</v>
      </c>
      <c r="N87" s="33">
        <v>30</v>
      </c>
      <c r="O87" s="33" t="s">
        <v>57</v>
      </c>
      <c r="P87" s="38" t="s">
        <v>64</v>
      </c>
      <c r="Q87" s="39" t="s">
        <v>65</v>
      </c>
      <c r="R87" s="39" t="s">
        <v>60</v>
      </c>
      <c r="S87" s="40">
        <v>7227.3</v>
      </c>
      <c r="T87" s="40">
        <v>0</v>
      </c>
      <c r="U87" s="40">
        <f t="shared" si="19"/>
        <v>7227.3</v>
      </c>
      <c r="V87" s="40">
        <v>672</v>
      </c>
      <c r="W87" s="40">
        <v>402</v>
      </c>
      <c r="X87" s="40">
        <v>292.16000000000003</v>
      </c>
      <c r="Y87" s="40">
        <v>0</v>
      </c>
      <c r="Z87" s="40">
        <f t="shared" si="31"/>
        <v>1127.9189999999999</v>
      </c>
      <c r="AA87" s="40">
        <f t="shared" si="20"/>
        <v>225.5838</v>
      </c>
      <c r="AB87" s="41">
        <v>540.11</v>
      </c>
      <c r="AC87" s="40">
        <f t="shared" si="21"/>
        <v>150.38920000000002</v>
      </c>
      <c r="AD87" s="40">
        <f t="shared" si="18"/>
        <v>3613.65</v>
      </c>
      <c r="AE87" s="42">
        <v>375</v>
      </c>
      <c r="AF87" s="42">
        <v>0</v>
      </c>
      <c r="AG87" s="40">
        <f t="shared" si="32"/>
        <v>56.25</v>
      </c>
      <c r="AH87" s="40">
        <f t="shared" si="22"/>
        <v>11.25</v>
      </c>
      <c r="AI87" s="40">
        <f t="shared" si="23"/>
        <v>45.116759999999992</v>
      </c>
      <c r="AJ87" s="40">
        <f t="shared" si="24"/>
        <v>7.5</v>
      </c>
      <c r="AK87" s="42">
        <f t="shared" si="17"/>
        <v>21.604400000000002</v>
      </c>
      <c r="AL87" s="42">
        <f t="shared" si="17"/>
        <v>6.0155680000000009</v>
      </c>
      <c r="AM87" s="42">
        <v>0</v>
      </c>
      <c r="AN87" s="42">
        <f t="shared" si="25"/>
        <v>62.5</v>
      </c>
      <c r="AO87" s="42">
        <f t="shared" si="26"/>
        <v>187.5</v>
      </c>
      <c r="AP87" s="42">
        <f t="shared" si="27"/>
        <v>625</v>
      </c>
      <c r="AQ87" s="42">
        <f t="shared" si="28"/>
        <v>7147.840736000001</v>
      </c>
      <c r="AR87" s="40">
        <f t="shared" si="29"/>
        <v>1204.55</v>
      </c>
      <c r="AS87" s="40">
        <f t="shared" si="30"/>
        <v>12045.5</v>
      </c>
      <c r="AT87" s="40">
        <v>7200</v>
      </c>
      <c r="AU87" s="40">
        <f t="shared" si="33"/>
        <v>158861.08473599999</v>
      </c>
      <c r="AV87" s="28"/>
      <c r="AW87" s="29"/>
      <c r="AX87" s="29"/>
      <c r="AY87" s="29"/>
      <c r="AZ87" s="29"/>
      <c r="BA87" s="30"/>
      <c r="BB87" s="30"/>
      <c r="BC87" s="30"/>
      <c r="BD87" s="30"/>
    </row>
    <row r="88" spans="2:56" ht="18" x14ac:dyDescent="0.25">
      <c r="B88" s="32">
        <v>84</v>
      </c>
      <c r="C88" s="33">
        <v>10</v>
      </c>
      <c r="D88" s="33">
        <v>1</v>
      </c>
      <c r="E88" s="32">
        <v>20</v>
      </c>
      <c r="F88" s="32">
        <v>84</v>
      </c>
      <c r="G88" s="32">
        <v>270</v>
      </c>
      <c r="H88" s="32"/>
      <c r="I88" s="34" t="s">
        <v>267</v>
      </c>
      <c r="J88" s="35" t="s">
        <v>268</v>
      </c>
      <c r="K88" s="37">
        <f>2014-2003</f>
        <v>11</v>
      </c>
      <c r="L88" s="33" t="s">
        <v>63</v>
      </c>
      <c r="M88" s="33">
        <v>4</v>
      </c>
      <c r="N88" s="33">
        <v>30</v>
      </c>
      <c r="O88" s="33" t="s">
        <v>57</v>
      </c>
      <c r="P88" s="38" t="s">
        <v>68</v>
      </c>
      <c r="Q88" s="39" t="s">
        <v>59</v>
      </c>
      <c r="R88" s="39" t="s">
        <v>60</v>
      </c>
      <c r="S88" s="40">
        <v>7491</v>
      </c>
      <c r="T88" s="40">
        <v>0</v>
      </c>
      <c r="U88" s="40">
        <f t="shared" si="19"/>
        <v>7491</v>
      </c>
      <c r="V88" s="40">
        <v>682</v>
      </c>
      <c r="W88" s="40">
        <v>412</v>
      </c>
      <c r="X88" s="40">
        <v>292.13</v>
      </c>
      <c r="Y88" s="40">
        <f>U88/30*25%*52</f>
        <v>3246.1</v>
      </c>
      <c r="Z88" s="40">
        <f t="shared" si="31"/>
        <v>1167.4694999999999</v>
      </c>
      <c r="AA88" s="40">
        <f t="shared" si="20"/>
        <v>233.4939</v>
      </c>
      <c r="AB88" s="41">
        <v>547.69000000000005</v>
      </c>
      <c r="AC88" s="40">
        <f t="shared" si="21"/>
        <v>155.6626</v>
      </c>
      <c r="AD88" s="40">
        <f t="shared" si="18"/>
        <v>3745.5</v>
      </c>
      <c r="AE88" s="42">
        <v>375</v>
      </c>
      <c r="AF88" s="42">
        <v>0</v>
      </c>
      <c r="AG88" s="40">
        <f t="shared" si="32"/>
        <v>56.25</v>
      </c>
      <c r="AH88" s="40">
        <f t="shared" si="22"/>
        <v>11.25</v>
      </c>
      <c r="AI88" s="40">
        <f t="shared" si="23"/>
        <v>46.698779999999999</v>
      </c>
      <c r="AJ88" s="40">
        <f t="shared" si="24"/>
        <v>7.5</v>
      </c>
      <c r="AK88" s="42">
        <f t="shared" si="17"/>
        <v>21.907600000000002</v>
      </c>
      <c r="AL88" s="42">
        <f t="shared" si="17"/>
        <v>6.2265040000000003</v>
      </c>
      <c r="AM88" s="42">
        <f>U88*6.58%</f>
        <v>492.90779999999995</v>
      </c>
      <c r="AN88" s="42">
        <f t="shared" si="25"/>
        <v>62.5</v>
      </c>
      <c r="AO88" s="42">
        <f t="shared" si="26"/>
        <v>187.5</v>
      </c>
      <c r="AP88" s="42">
        <f t="shared" si="27"/>
        <v>625</v>
      </c>
      <c r="AQ88" s="42">
        <f t="shared" si="28"/>
        <v>7665.902407999999</v>
      </c>
      <c r="AR88" s="40">
        <f t="shared" si="29"/>
        <v>1248.5</v>
      </c>
      <c r="AS88" s="40">
        <f t="shared" si="30"/>
        <v>12485</v>
      </c>
      <c r="AT88" s="40">
        <v>7200</v>
      </c>
      <c r="AU88" s="40">
        <f t="shared" si="33"/>
        <v>167368.35440799998</v>
      </c>
      <c r="AV88" s="29"/>
      <c r="AW88" s="29"/>
      <c r="AX88" s="29"/>
      <c r="AY88" s="29"/>
      <c r="AZ88" s="29"/>
      <c r="BA88" s="44"/>
      <c r="BB88" s="44"/>
      <c r="BC88" s="44"/>
      <c r="BD88" s="44"/>
    </row>
    <row r="89" spans="2:56" ht="18" x14ac:dyDescent="0.25">
      <c r="B89" s="32">
        <v>85</v>
      </c>
      <c r="C89" s="33">
        <v>10</v>
      </c>
      <c r="D89" s="33">
        <v>1</v>
      </c>
      <c r="E89" s="32">
        <v>20</v>
      </c>
      <c r="F89" s="32">
        <v>85</v>
      </c>
      <c r="G89" s="32">
        <v>270</v>
      </c>
      <c r="H89" s="32"/>
      <c r="I89" s="34" t="s">
        <v>269</v>
      </c>
      <c r="J89" s="35" t="s">
        <v>270</v>
      </c>
      <c r="K89" s="37">
        <f>2014-2004</f>
        <v>10</v>
      </c>
      <c r="L89" s="33" t="s">
        <v>63</v>
      </c>
      <c r="M89" s="33">
        <v>3</v>
      </c>
      <c r="N89" s="33">
        <v>30</v>
      </c>
      <c r="O89" s="33" t="s">
        <v>57</v>
      </c>
      <c r="P89" s="38" t="s">
        <v>64</v>
      </c>
      <c r="Q89" s="39" t="s">
        <v>65</v>
      </c>
      <c r="R89" s="39" t="s">
        <v>60</v>
      </c>
      <c r="S89" s="40">
        <v>7227.3</v>
      </c>
      <c r="T89" s="40">
        <v>0</v>
      </c>
      <c r="U89" s="40">
        <f t="shared" si="19"/>
        <v>7227.3</v>
      </c>
      <c r="V89" s="40">
        <v>672</v>
      </c>
      <c r="W89" s="40">
        <v>402</v>
      </c>
      <c r="X89" s="40">
        <v>292.13</v>
      </c>
      <c r="Y89" s="40">
        <v>0</v>
      </c>
      <c r="Z89" s="40">
        <f t="shared" si="31"/>
        <v>1127.9145000000001</v>
      </c>
      <c r="AA89" s="40">
        <f t="shared" si="20"/>
        <v>225.5829</v>
      </c>
      <c r="AB89" s="41">
        <v>540.25</v>
      </c>
      <c r="AC89" s="40">
        <f t="shared" si="21"/>
        <v>150.3886</v>
      </c>
      <c r="AD89" s="40">
        <f t="shared" si="18"/>
        <v>3613.65</v>
      </c>
      <c r="AE89" s="42">
        <v>375</v>
      </c>
      <c r="AF89" s="42">
        <v>70.099999999999994</v>
      </c>
      <c r="AG89" s="40">
        <f t="shared" si="32"/>
        <v>66.765000000000001</v>
      </c>
      <c r="AH89" s="40">
        <f t="shared" si="22"/>
        <v>13.353</v>
      </c>
      <c r="AI89" s="40">
        <f t="shared" si="23"/>
        <v>45.116580000000006</v>
      </c>
      <c r="AJ89" s="40">
        <f t="shared" si="24"/>
        <v>8.902000000000001</v>
      </c>
      <c r="AK89" s="42">
        <f t="shared" si="17"/>
        <v>21.61</v>
      </c>
      <c r="AL89" s="42">
        <f t="shared" si="17"/>
        <v>6.0155440000000002</v>
      </c>
      <c r="AM89" s="42">
        <v>0</v>
      </c>
      <c r="AN89" s="42">
        <f t="shared" si="25"/>
        <v>62.5</v>
      </c>
      <c r="AO89" s="42">
        <f t="shared" si="26"/>
        <v>187.5</v>
      </c>
      <c r="AP89" s="42">
        <f t="shared" si="27"/>
        <v>625</v>
      </c>
      <c r="AQ89" s="42">
        <f t="shared" si="28"/>
        <v>8157.3454879999999</v>
      </c>
      <c r="AR89" s="40">
        <f t="shared" si="29"/>
        <v>1204.55</v>
      </c>
      <c r="AS89" s="40">
        <f t="shared" si="30"/>
        <v>12045.5</v>
      </c>
      <c r="AT89" s="40">
        <v>7200</v>
      </c>
      <c r="AU89" s="40">
        <f t="shared" si="33"/>
        <v>159871.83748799999</v>
      </c>
      <c r="AV89" s="29"/>
      <c r="AW89" s="29"/>
      <c r="AX89" s="29"/>
      <c r="AY89" s="29"/>
      <c r="AZ89" s="29"/>
      <c r="BA89" s="44"/>
      <c r="BB89" s="44"/>
      <c r="BC89" s="44"/>
      <c r="BD89" s="44"/>
    </row>
    <row r="90" spans="2:56" ht="18" x14ac:dyDescent="0.25">
      <c r="B90" s="32">
        <v>86</v>
      </c>
      <c r="C90" s="33">
        <v>10</v>
      </c>
      <c r="D90" s="33">
        <v>1</v>
      </c>
      <c r="E90" s="32">
        <v>20</v>
      </c>
      <c r="F90" s="32">
        <v>86</v>
      </c>
      <c r="G90" s="32">
        <v>270</v>
      </c>
      <c r="H90" s="32"/>
      <c r="I90" s="34" t="s">
        <v>271</v>
      </c>
      <c r="J90" s="35" t="s">
        <v>272</v>
      </c>
      <c r="K90" s="37">
        <f>2014-1990</f>
        <v>24</v>
      </c>
      <c r="L90" s="33" t="s">
        <v>63</v>
      </c>
      <c r="M90" s="33">
        <v>4</v>
      </c>
      <c r="N90" s="33">
        <v>30</v>
      </c>
      <c r="O90" s="33" t="s">
        <v>57</v>
      </c>
      <c r="P90" s="38" t="s">
        <v>68</v>
      </c>
      <c r="Q90" s="39" t="s">
        <v>59</v>
      </c>
      <c r="R90" s="39" t="s">
        <v>60</v>
      </c>
      <c r="S90" s="40">
        <v>7491</v>
      </c>
      <c r="T90" s="40">
        <v>0</v>
      </c>
      <c r="U90" s="40">
        <f t="shared" si="19"/>
        <v>7491</v>
      </c>
      <c r="V90" s="40">
        <v>682</v>
      </c>
      <c r="W90" s="40">
        <v>412</v>
      </c>
      <c r="X90" s="40">
        <v>438.24</v>
      </c>
      <c r="Y90" s="40">
        <v>0</v>
      </c>
      <c r="Z90" s="40">
        <f t="shared" si="31"/>
        <v>1189.386</v>
      </c>
      <c r="AA90" s="40">
        <f t="shared" si="20"/>
        <v>237.87719999999999</v>
      </c>
      <c r="AB90" s="41">
        <v>548.09</v>
      </c>
      <c r="AC90" s="40">
        <f t="shared" si="21"/>
        <v>158.5848</v>
      </c>
      <c r="AD90" s="40">
        <f t="shared" si="18"/>
        <v>3745.5</v>
      </c>
      <c r="AE90" s="42">
        <v>375</v>
      </c>
      <c r="AF90" s="42">
        <v>0</v>
      </c>
      <c r="AG90" s="40">
        <f t="shared" si="32"/>
        <v>56.25</v>
      </c>
      <c r="AH90" s="40">
        <f t="shared" si="22"/>
        <v>11.25</v>
      </c>
      <c r="AI90" s="40">
        <f t="shared" si="23"/>
        <v>47.57544</v>
      </c>
      <c r="AJ90" s="40">
        <f t="shared" si="24"/>
        <v>7.5</v>
      </c>
      <c r="AK90" s="42">
        <f t="shared" si="17"/>
        <v>21.9236</v>
      </c>
      <c r="AL90" s="42">
        <f t="shared" si="17"/>
        <v>6.3433920000000006</v>
      </c>
      <c r="AM90" s="42">
        <v>0</v>
      </c>
      <c r="AN90" s="42">
        <f t="shared" si="25"/>
        <v>62.5</v>
      </c>
      <c r="AO90" s="42">
        <f t="shared" si="26"/>
        <v>187.5</v>
      </c>
      <c r="AP90" s="42">
        <f t="shared" si="27"/>
        <v>625</v>
      </c>
      <c r="AQ90" s="42">
        <f t="shared" si="28"/>
        <v>7185.1091840000008</v>
      </c>
      <c r="AR90" s="40">
        <f t="shared" si="29"/>
        <v>1248.5</v>
      </c>
      <c r="AS90" s="40">
        <f t="shared" si="30"/>
        <v>12485</v>
      </c>
      <c r="AT90" s="40">
        <v>7200</v>
      </c>
      <c r="AU90" s="40">
        <f t="shared" si="33"/>
        <v>165750.24518400003</v>
      </c>
      <c r="AV90" s="29"/>
      <c r="AW90" s="29"/>
      <c r="AX90" s="29"/>
      <c r="AY90" s="29"/>
      <c r="AZ90" s="29"/>
      <c r="BA90" s="44"/>
      <c r="BB90" s="44"/>
      <c r="BC90" s="30"/>
      <c r="BD90" s="30"/>
    </row>
    <row r="91" spans="2:56" ht="18" x14ac:dyDescent="0.25">
      <c r="B91" s="32">
        <v>87</v>
      </c>
      <c r="C91" s="33">
        <v>10</v>
      </c>
      <c r="D91" s="33">
        <v>1</v>
      </c>
      <c r="E91" s="32">
        <v>20</v>
      </c>
      <c r="F91" s="32">
        <v>87</v>
      </c>
      <c r="G91" s="32">
        <v>270</v>
      </c>
      <c r="H91" s="32"/>
      <c r="I91" s="34" t="s">
        <v>273</v>
      </c>
      <c r="J91" s="35" t="s">
        <v>274</v>
      </c>
      <c r="K91" s="37">
        <f>2014-1992</f>
        <v>22</v>
      </c>
      <c r="L91" s="33" t="s">
        <v>63</v>
      </c>
      <c r="M91" s="33">
        <v>3</v>
      </c>
      <c r="N91" s="33">
        <v>30</v>
      </c>
      <c r="O91" s="33" t="s">
        <v>57</v>
      </c>
      <c r="P91" s="38" t="s">
        <v>64</v>
      </c>
      <c r="Q91" s="39" t="s">
        <v>65</v>
      </c>
      <c r="R91" s="39" t="s">
        <v>60</v>
      </c>
      <c r="S91" s="40">
        <v>7227.3</v>
      </c>
      <c r="T91" s="40">
        <v>0</v>
      </c>
      <c r="U91" s="40">
        <f t="shared" si="19"/>
        <v>7227.3</v>
      </c>
      <c r="V91" s="40">
        <v>672</v>
      </c>
      <c r="W91" s="40">
        <v>402</v>
      </c>
      <c r="X91" s="40">
        <v>438.24</v>
      </c>
      <c r="Y91" s="40">
        <v>0</v>
      </c>
      <c r="Z91" s="40">
        <f t="shared" si="31"/>
        <v>1149.8309999999999</v>
      </c>
      <c r="AA91" s="40">
        <f t="shared" si="20"/>
        <v>229.96619999999999</v>
      </c>
      <c r="AB91" s="41">
        <v>540.51</v>
      </c>
      <c r="AC91" s="40">
        <f t="shared" si="21"/>
        <v>153.3108</v>
      </c>
      <c r="AD91" s="40">
        <f t="shared" si="18"/>
        <v>3613.65</v>
      </c>
      <c r="AE91" s="42">
        <v>375</v>
      </c>
      <c r="AF91" s="42">
        <v>70.099999999999994</v>
      </c>
      <c r="AG91" s="40">
        <f t="shared" si="32"/>
        <v>66.765000000000001</v>
      </c>
      <c r="AH91" s="40">
        <f t="shared" si="22"/>
        <v>13.353</v>
      </c>
      <c r="AI91" s="40">
        <f t="shared" si="23"/>
        <v>45.99324</v>
      </c>
      <c r="AJ91" s="40">
        <f t="shared" si="24"/>
        <v>8.902000000000001</v>
      </c>
      <c r="AK91" s="42">
        <f t="shared" si="17"/>
        <v>21.6204</v>
      </c>
      <c r="AL91" s="42">
        <f t="shared" si="17"/>
        <v>6.1324320000000005</v>
      </c>
      <c r="AM91" s="42">
        <v>0</v>
      </c>
      <c r="AN91" s="42">
        <f t="shared" si="25"/>
        <v>62.5</v>
      </c>
      <c r="AO91" s="42">
        <f t="shared" si="26"/>
        <v>187.5</v>
      </c>
      <c r="AP91" s="42">
        <f t="shared" si="27"/>
        <v>625</v>
      </c>
      <c r="AQ91" s="42">
        <f t="shared" si="28"/>
        <v>8169.3928640000004</v>
      </c>
      <c r="AR91" s="40">
        <f t="shared" si="29"/>
        <v>1204.55</v>
      </c>
      <c r="AS91" s="40">
        <f t="shared" si="30"/>
        <v>12045.5</v>
      </c>
      <c r="AT91" s="40">
        <v>7200</v>
      </c>
      <c r="AU91" s="40">
        <f t="shared" si="33"/>
        <v>161990.98886399998</v>
      </c>
      <c r="AV91" s="45"/>
      <c r="AW91" s="46"/>
      <c r="AX91" s="46"/>
      <c r="AY91" s="29"/>
      <c r="AZ91" s="29"/>
      <c r="BA91" s="30"/>
      <c r="BB91" s="30"/>
      <c r="BC91" s="30"/>
      <c r="BD91" s="30"/>
    </row>
    <row r="92" spans="2:56" ht="18" x14ac:dyDescent="0.25">
      <c r="B92" s="32">
        <v>88</v>
      </c>
      <c r="C92" s="33">
        <v>10</v>
      </c>
      <c r="D92" s="33">
        <v>1</v>
      </c>
      <c r="E92" s="32">
        <v>20</v>
      </c>
      <c r="F92" s="32">
        <v>88</v>
      </c>
      <c r="G92" s="32">
        <v>270</v>
      </c>
      <c r="H92" s="32"/>
      <c r="I92" s="34" t="s">
        <v>275</v>
      </c>
      <c r="J92" s="35" t="s">
        <v>276</v>
      </c>
      <c r="K92" s="37">
        <f>2014-1998</f>
        <v>16</v>
      </c>
      <c r="L92" s="33" t="s">
        <v>56</v>
      </c>
      <c r="M92" s="33">
        <v>6</v>
      </c>
      <c r="N92" s="33">
        <v>30</v>
      </c>
      <c r="O92" s="33" t="s">
        <v>57</v>
      </c>
      <c r="P92" s="38" t="s">
        <v>58</v>
      </c>
      <c r="Q92" s="39" t="s">
        <v>74</v>
      </c>
      <c r="R92" s="39" t="s">
        <v>74</v>
      </c>
      <c r="S92" s="40">
        <v>8051.1</v>
      </c>
      <c r="T92" s="40">
        <v>0</v>
      </c>
      <c r="U92" s="40">
        <f t="shared" si="19"/>
        <v>8051.1</v>
      </c>
      <c r="V92" s="40">
        <v>767</v>
      </c>
      <c r="W92" s="40">
        <v>513</v>
      </c>
      <c r="X92" s="40">
        <v>365.2</v>
      </c>
      <c r="Y92" s="40">
        <v>0</v>
      </c>
      <c r="Z92" s="40">
        <f t="shared" si="31"/>
        <v>1262.4450000000002</v>
      </c>
      <c r="AA92" s="40">
        <f t="shared" si="20"/>
        <v>252.48900000000003</v>
      </c>
      <c r="AB92" s="41">
        <v>565.23</v>
      </c>
      <c r="AC92" s="40">
        <f t="shared" si="21"/>
        <v>168.32600000000002</v>
      </c>
      <c r="AD92" s="40">
        <f t="shared" si="18"/>
        <v>4025.55</v>
      </c>
      <c r="AE92" s="42">
        <v>388</v>
      </c>
      <c r="AF92" s="42">
        <v>70.099999999999994</v>
      </c>
      <c r="AG92" s="40">
        <f t="shared" si="32"/>
        <v>68.715000000000003</v>
      </c>
      <c r="AH92" s="40">
        <f t="shared" si="22"/>
        <v>13.743</v>
      </c>
      <c r="AI92" s="40">
        <f t="shared" si="23"/>
        <v>50.497800000000005</v>
      </c>
      <c r="AJ92" s="40">
        <f t="shared" si="24"/>
        <v>9.1620000000000008</v>
      </c>
      <c r="AK92" s="42">
        <f t="shared" si="17"/>
        <v>22.609200000000001</v>
      </c>
      <c r="AL92" s="42">
        <f t="shared" si="17"/>
        <v>6.7330400000000008</v>
      </c>
      <c r="AM92" s="42">
        <v>0</v>
      </c>
      <c r="AN92" s="42">
        <f t="shared" si="25"/>
        <v>64.666666666666671</v>
      </c>
      <c r="AO92" s="42">
        <f t="shared" si="26"/>
        <v>194</v>
      </c>
      <c r="AP92" s="42">
        <f t="shared" si="27"/>
        <v>646.66666666666663</v>
      </c>
      <c r="AQ92" s="42">
        <f t="shared" si="28"/>
        <v>8460.0538133333339</v>
      </c>
      <c r="AR92" s="40">
        <f t="shared" si="29"/>
        <v>1341.85</v>
      </c>
      <c r="AS92" s="40">
        <f t="shared" si="30"/>
        <v>13418.5</v>
      </c>
      <c r="AT92" s="40">
        <v>7200</v>
      </c>
      <c r="AU92" s="40">
        <f t="shared" si="33"/>
        <v>177783.43381333334</v>
      </c>
      <c r="AV92" s="29"/>
      <c r="AW92" s="29"/>
      <c r="AX92" s="29"/>
      <c r="AY92" s="29"/>
      <c r="AZ92" s="29"/>
      <c r="BA92" s="44"/>
      <c r="BB92" s="44"/>
      <c r="BC92" s="44"/>
      <c r="BD92" s="44"/>
    </row>
    <row r="93" spans="2:56" s="10" customFormat="1" ht="14.25" x14ac:dyDescent="0.25">
      <c r="B93" s="32">
        <v>89</v>
      </c>
      <c r="C93" s="33">
        <v>10</v>
      </c>
      <c r="D93" s="33">
        <v>1</v>
      </c>
      <c r="E93" s="32">
        <v>20</v>
      </c>
      <c r="F93" s="32">
        <v>89</v>
      </c>
      <c r="G93" s="32">
        <v>270</v>
      </c>
      <c r="H93" s="32"/>
      <c r="I93" s="59" t="s">
        <v>277</v>
      </c>
      <c r="J93" s="35" t="s">
        <v>278</v>
      </c>
      <c r="K93" s="37">
        <f>2014-2007</f>
        <v>7</v>
      </c>
      <c r="L93" s="33" t="s">
        <v>63</v>
      </c>
      <c r="M93" s="33">
        <v>7</v>
      </c>
      <c r="N93" s="33">
        <v>30</v>
      </c>
      <c r="O93" s="33" t="s">
        <v>57</v>
      </c>
      <c r="P93" s="38" t="s">
        <v>279</v>
      </c>
      <c r="Q93" s="39" t="s">
        <v>89</v>
      </c>
      <c r="R93" s="39" t="s">
        <v>89</v>
      </c>
      <c r="S93" s="40">
        <v>8924.4</v>
      </c>
      <c r="T93" s="40">
        <v>0</v>
      </c>
      <c r="U93" s="40">
        <f t="shared" si="19"/>
        <v>8924.4</v>
      </c>
      <c r="V93" s="40">
        <v>755</v>
      </c>
      <c r="W93" s="40">
        <v>523</v>
      </c>
      <c r="X93" s="40">
        <v>219.12</v>
      </c>
      <c r="Y93" s="40">
        <v>0</v>
      </c>
      <c r="Z93" s="40">
        <f t="shared" si="31"/>
        <v>1371.528</v>
      </c>
      <c r="AA93" s="40">
        <f t="shared" si="20"/>
        <v>274.30560000000003</v>
      </c>
      <c r="AB93" s="41">
        <v>589.01</v>
      </c>
      <c r="AC93" s="40">
        <f t="shared" si="21"/>
        <v>182.87040000000002</v>
      </c>
      <c r="AD93" s="40">
        <f t="shared" si="18"/>
        <v>4462.2</v>
      </c>
      <c r="AE93" s="42">
        <v>338</v>
      </c>
      <c r="AF93" s="42">
        <v>0</v>
      </c>
      <c r="AG93" s="40">
        <f t="shared" si="32"/>
        <v>50.699999999999996</v>
      </c>
      <c r="AH93" s="40">
        <f t="shared" si="22"/>
        <v>10.139999999999999</v>
      </c>
      <c r="AI93" s="40">
        <f t="shared" si="23"/>
        <v>54.86112</v>
      </c>
      <c r="AJ93" s="40">
        <f t="shared" si="24"/>
        <v>6.76</v>
      </c>
      <c r="AK93" s="42">
        <f t="shared" si="17"/>
        <v>23.560400000000001</v>
      </c>
      <c r="AL93" s="42">
        <f t="shared" si="17"/>
        <v>7.3148160000000004</v>
      </c>
      <c r="AM93" s="42">
        <v>0</v>
      </c>
      <c r="AN93" s="42">
        <f t="shared" si="25"/>
        <v>56.333333333333336</v>
      </c>
      <c r="AO93" s="42">
        <f t="shared" si="26"/>
        <v>169</v>
      </c>
      <c r="AP93" s="42">
        <f t="shared" si="27"/>
        <v>563.33333333333337</v>
      </c>
      <c r="AQ93" s="42">
        <f t="shared" si="28"/>
        <v>6684.7026986666669</v>
      </c>
      <c r="AR93" s="40">
        <f t="shared" si="29"/>
        <v>1487.3999999999999</v>
      </c>
      <c r="AS93" s="40">
        <f t="shared" si="30"/>
        <v>14873.999999999998</v>
      </c>
      <c r="AT93" s="40">
        <v>7200</v>
      </c>
      <c r="AU93" s="40">
        <f t="shared" si="33"/>
        <v>188779.11069866669</v>
      </c>
    </row>
    <row r="94" spans="2:56" s="63" customFormat="1" ht="18" x14ac:dyDescent="0.25">
      <c r="B94" s="32">
        <v>90</v>
      </c>
      <c r="C94" s="33">
        <v>10</v>
      </c>
      <c r="D94" s="33">
        <v>1</v>
      </c>
      <c r="E94" s="32">
        <v>20</v>
      </c>
      <c r="F94" s="32">
        <v>90</v>
      </c>
      <c r="G94" s="32">
        <v>270</v>
      </c>
      <c r="H94" s="32"/>
      <c r="I94" s="34" t="s">
        <v>280</v>
      </c>
      <c r="J94" s="34" t="s">
        <v>280</v>
      </c>
      <c r="K94" s="36"/>
      <c r="L94" s="33"/>
      <c r="M94" s="33">
        <v>20</v>
      </c>
      <c r="N94" s="33">
        <v>40</v>
      </c>
      <c r="O94" s="33" t="s">
        <v>143</v>
      </c>
      <c r="P94" s="38" t="s">
        <v>281</v>
      </c>
      <c r="Q94" s="39" t="s">
        <v>282</v>
      </c>
      <c r="R94" s="39" t="s">
        <v>89</v>
      </c>
      <c r="S94" s="40">
        <v>27627</v>
      </c>
      <c r="T94" s="40">
        <v>0</v>
      </c>
      <c r="U94" s="40">
        <f t="shared" si="19"/>
        <v>27627</v>
      </c>
      <c r="V94" s="40">
        <v>1664</v>
      </c>
      <c r="W94" s="40">
        <v>1119</v>
      </c>
      <c r="X94" s="40">
        <v>0</v>
      </c>
      <c r="Y94" s="40">
        <v>0</v>
      </c>
      <c r="Z94" s="40">
        <f t="shared" si="31"/>
        <v>4144.05</v>
      </c>
      <c r="AA94" s="40">
        <f t="shared" si="20"/>
        <v>828.81</v>
      </c>
      <c r="AB94" s="41">
        <v>1133.23</v>
      </c>
      <c r="AC94" s="40">
        <f t="shared" si="21"/>
        <v>552.54</v>
      </c>
      <c r="AD94" s="40">
        <f t="shared" si="18"/>
        <v>13813.5</v>
      </c>
      <c r="AE94" s="42">
        <v>0</v>
      </c>
      <c r="AF94" s="42">
        <v>0</v>
      </c>
      <c r="AG94" s="40">
        <f t="shared" si="32"/>
        <v>0</v>
      </c>
      <c r="AH94" s="40">
        <f t="shared" si="22"/>
        <v>0</v>
      </c>
      <c r="AI94" s="40">
        <f t="shared" si="23"/>
        <v>165.762</v>
      </c>
      <c r="AJ94" s="40">
        <f t="shared" si="24"/>
        <v>0</v>
      </c>
      <c r="AK94" s="42">
        <f t="shared" si="17"/>
        <v>45.3292</v>
      </c>
      <c r="AL94" s="42">
        <f t="shared" si="17"/>
        <v>22.101599999999998</v>
      </c>
      <c r="AM94" s="42">
        <v>0</v>
      </c>
      <c r="AN94" s="42">
        <f t="shared" si="25"/>
        <v>0</v>
      </c>
      <c r="AO94" s="42">
        <f t="shared" si="26"/>
        <v>0</v>
      </c>
      <c r="AP94" s="42">
        <f t="shared" si="27"/>
        <v>0</v>
      </c>
      <c r="AQ94" s="42">
        <f t="shared" si="28"/>
        <v>2798.3136</v>
      </c>
      <c r="AR94" s="40">
        <f t="shared" si="29"/>
        <v>4604.5</v>
      </c>
      <c r="AS94" s="40">
        <f t="shared" si="30"/>
        <v>46045</v>
      </c>
      <c r="AT94" s="40">
        <v>0</v>
      </c>
      <c r="AU94" s="40">
        <f t="shared" si="33"/>
        <v>512084.87360000005</v>
      </c>
      <c r="AV94" s="54"/>
      <c r="AW94" s="55"/>
      <c r="AX94" s="55"/>
      <c r="AY94" s="55"/>
      <c r="AZ94" s="55"/>
      <c r="BA94" s="30"/>
      <c r="BB94" s="30"/>
      <c r="BC94" s="30"/>
      <c r="BD94" s="30"/>
    </row>
    <row r="95" spans="2:56" s="63" customFormat="1" ht="18" x14ac:dyDescent="0.25">
      <c r="B95" s="32">
        <v>91</v>
      </c>
      <c r="C95" s="33">
        <v>10</v>
      </c>
      <c r="D95" s="33">
        <v>1</v>
      </c>
      <c r="E95" s="32">
        <v>20</v>
      </c>
      <c r="F95" s="32">
        <v>91</v>
      </c>
      <c r="G95" s="32">
        <v>270</v>
      </c>
      <c r="H95" s="32"/>
      <c r="I95" s="34" t="s">
        <v>280</v>
      </c>
      <c r="J95" s="35" t="s">
        <v>280</v>
      </c>
      <c r="K95" s="37"/>
      <c r="L95" s="33"/>
      <c r="M95" s="33">
        <v>20</v>
      </c>
      <c r="N95" s="33">
        <v>40</v>
      </c>
      <c r="O95" s="33" t="s">
        <v>143</v>
      </c>
      <c r="P95" s="38" t="s">
        <v>283</v>
      </c>
      <c r="Q95" s="39" t="s">
        <v>282</v>
      </c>
      <c r="R95" s="39" t="s">
        <v>89</v>
      </c>
      <c r="S95" s="40">
        <v>27627</v>
      </c>
      <c r="T95" s="40">
        <v>0</v>
      </c>
      <c r="U95" s="40">
        <f>+S95+T95</f>
        <v>27627</v>
      </c>
      <c r="V95" s="40">
        <v>1664</v>
      </c>
      <c r="W95" s="40">
        <v>1119</v>
      </c>
      <c r="X95" s="40">
        <v>0</v>
      </c>
      <c r="Y95" s="40">
        <v>0</v>
      </c>
      <c r="Z95" s="40">
        <f t="shared" si="31"/>
        <v>4144.05</v>
      </c>
      <c r="AA95" s="40">
        <f>(U95+X95)*3%</f>
        <v>828.81</v>
      </c>
      <c r="AB95" s="41">
        <v>1134.1500000000001</v>
      </c>
      <c r="AC95" s="40">
        <f>(U95+X95)*2%</f>
        <v>552.54</v>
      </c>
      <c r="AD95" s="40">
        <f>U95/30*15</f>
        <v>13813.5</v>
      </c>
      <c r="AE95" s="42">
        <v>0</v>
      </c>
      <c r="AF95" s="42">
        <v>0</v>
      </c>
      <c r="AG95" s="40">
        <f t="shared" si="32"/>
        <v>0</v>
      </c>
      <c r="AH95" s="40">
        <f>(AE95+AF95)*3%</f>
        <v>0</v>
      </c>
      <c r="AI95" s="40">
        <f>Z95*4%</f>
        <v>165.762</v>
      </c>
      <c r="AJ95" s="40">
        <f>(AE95+AF95)*2%</f>
        <v>0</v>
      </c>
      <c r="AK95" s="42">
        <f t="shared" si="17"/>
        <v>45.366000000000007</v>
      </c>
      <c r="AL95" s="42">
        <f t="shared" si="17"/>
        <v>22.101599999999998</v>
      </c>
      <c r="AM95" s="42">
        <v>0</v>
      </c>
      <c r="AN95" s="42">
        <f>AE95/30*5</f>
        <v>0</v>
      </c>
      <c r="AO95" s="42">
        <f>AE95/30*15</f>
        <v>0</v>
      </c>
      <c r="AP95" s="42">
        <f>AE95/30*50</f>
        <v>0</v>
      </c>
      <c r="AQ95" s="42">
        <f>SUM(AE95+AF95+AG95+AH95+AI95+AJ95+AK95+AL95)*12+(AM95+AN95+AO95+AP95)</f>
        <v>2798.7552000000001</v>
      </c>
      <c r="AR95" s="40">
        <f>+U95/30*5</f>
        <v>4604.5</v>
      </c>
      <c r="AS95" s="40">
        <f>+U95/30*50</f>
        <v>46045</v>
      </c>
      <c r="AT95" s="40">
        <v>0</v>
      </c>
      <c r="AU95" s="40">
        <f t="shared" si="33"/>
        <v>512096.35520000005</v>
      </c>
      <c r="AV95" s="64"/>
      <c r="AW95" s="55"/>
      <c r="AX95" s="55"/>
      <c r="AY95" s="55"/>
      <c r="AZ95" s="55"/>
      <c r="BA95" s="30"/>
      <c r="BB95" s="30"/>
      <c r="BC95" s="30"/>
      <c r="BD95" s="30"/>
    </row>
    <row r="96" spans="2:56" s="63" customFormat="1" ht="18" x14ac:dyDescent="0.25">
      <c r="B96" s="32">
        <v>92</v>
      </c>
      <c r="C96" s="33">
        <v>10</v>
      </c>
      <c r="D96" s="33">
        <v>1</v>
      </c>
      <c r="E96" s="32">
        <v>20</v>
      </c>
      <c r="F96" s="32">
        <v>92</v>
      </c>
      <c r="G96" s="32">
        <v>270</v>
      </c>
      <c r="H96" s="32"/>
      <c r="I96" s="34" t="s">
        <v>280</v>
      </c>
      <c r="J96" s="65" t="s">
        <v>280</v>
      </c>
      <c r="K96" s="37"/>
      <c r="L96" s="33"/>
      <c r="M96" s="33">
        <v>18</v>
      </c>
      <c r="N96" s="33">
        <v>40</v>
      </c>
      <c r="O96" s="33" t="s">
        <v>143</v>
      </c>
      <c r="P96" s="38" t="s">
        <v>284</v>
      </c>
      <c r="Q96" s="39" t="s">
        <v>179</v>
      </c>
      <c r="R96" s="39" t="s">
        <v>211</v>
      </c>
      <c r="S96" s="40">
        <v>22186</v>
      </c>
      <c r="T96" s="40">
        <v>0</v>
      </c>
      <c r="U96" s="40">
        <f>+S96+T96</f>
        <v>22186</v>
      </c>
      <c r="V96" s="40">
        <v>1465</v>
      </c>
      <c r="W96" s="40">
        <v>987</v>
      </c>
      <c r="X96" s="40">
        <v>0</v>
      </c>
      <c r="Y96" s="40">
        <v>0</v>
      </c>
      <c r="Z96" s="40">
        <f t="shared" si="31"/>
        <v>3327.9</v>
      </c>
      <c r="AA96" s="40">
        <f>(U96+X96)*3%</f>
        <v>665.57999999999993</v>
      </c>
      <c r="AB96" s="41">
        <v>976.1</v>
      </c>
      <c r="AC96" s="40">
        <f>(U96+X96)*2%</f>
        <v>443.72</v>
      </c>
      <c r="AD96" s="40">
        <f>U96/30*15</f>
        <v>11093</v>
      </c>
      <c r="AE96" s="42">
        <v>0</v>
      </c>
      <c r="AF96" s="42">
        <v>70.099999999999994</v>
      </c>
      <c r="AG96" s="40">
        <f t="shared" si="32"/>
        <v>10.514999999999999</v>
      </c>
      <c r="AH96" s="40">
        <f>(AE96+AF96)*3%</f>
        <v>2.1029999999999998</v>
      </c>
      <c r="AI96" s="40">
        <f>Z96*4%</f>
        <v>133.11600000000001</v>
      </c>
      <c r="AJ96" s="40">
        <f>(AE96+AF96)*2%</f>
        <v>1.4019999999999999</v>
      </c>
      <c r="AK96" s="42">
        <f t="shared" si="17"/>
        <v>39.044000000000004</v>
      </c>
      <c r="AL96" s="42">
        <f t="shared" si="17"/>
        <v>17.748800000000003</v>
      </c>
      <c r="AM96" s="42">
        <v>0</v>
      </c>
      <c r="AN96" s="42">
        <f>AE96/30*5</f>
        <v>0</v>
      </c>
      <c r="AO96" s="42">
        <f>AE96/30*15</f>
        <v>0</v>
      </c>
      <c r="AP96" s="42">
        <f>AE96/30*50</f>
        <v>0</v>
      </c>
      <c r="AQ96" s="42">
        <f>SUM(AE96+AF96+AG96+AH96+AI96+AJ96+AK96+AL96)*12+(AM96+AN96+AO96+AP96)</f>
        <v>3288.3455999999996</v>
      </c>
      <c r="AR96" s="40">
        <f>+U96/30*5</f>
        <v>3697.6666666666665</v>
      </c>
      <c r="AS96" s="40">
        <f>+U96/30*50</f>
        <v>36976.666666666664</v>
      </c>
      <c r="AT96" s="40">
        <v>0</v>
      </c>
      <c r="AU96" s="40">
        <f t="shared" si="33"/>
        <v>415671.27893333335</v>
      </c>
      <c r="AV96" s="64"/>
      <c r="AW96" s="55"/>
      <c r="AX96" s="55"/>
      <c r="AY96" s="55"/>
      <c r="AZ96" s="55"/>
      <c r="BA96" s="30"/>
      <c r="BB96" s="30"/>
      <c r="BC96" s="30"/>
      <c r="BD96" s="30"/>
    </row>
    <row r="97" spans="2:56" s="63" customFormat="1" ht="18" x14ac:dyDescent="0.25">
      <c r="B97" s="32">
        <v>93</v>
      </c>
      <c r="C97" s="33">
        <v>10</v>
      </c>
      <c r="D97" s="33">
        <v>1</v>
      </c>
      <c r="E97" s="32">
        <v>20</v>
      </c>
      <c r="F97" s="32">
        <v>93</v>
      </c>
      <c r="G97" s="32">
        <v>270</v>
      </c>
      <c r="H97" s="32"/>
      <c r="I97" s="34" t="s">
        <v>280</v>
      </c>
      <c r="J97" s="34" t="s">
        <v>280</v>
      </c>
      <c r="K97" s="37"/>
      <c r="L97" s="33"/>
      <c r="M97" s="33">
        <v>4</v>
      </c>
      <c r="N97" s="33">
        <v>30</v>
      </c>
      <c r="O97" s="33" t="s">
        <v>57</v>
      </c>
      <c r="P97" s="38" t="s">
        <v>68</v>
      </c>
      <c r="Q97" s="39" t="s">
        <v>59</v>
      </c>
      <c r="R97" s="39" t="s">
        <v>60</v>
      </c>
      <c r="S97" s="40">
        <v>7491</v>
      </c>
      <c r="T97" s="40">
        <v>0</v>
      </c>
      <c r="U97" s="40">
        <f>+S97+T97</f>
        <v>7491</v>
      </c>
      <c r="V97" s="40">
        <v>682</v>
      </c>
      <c r="W97" s="40">
        <v>412</v>
      </c>
      <c r="X97" s="40">
        <v>0</v>
      </c>
      <c r="Y97" s="40">
        <f>U97/30*25%*52</f>
        <v>3246.1</v>
      </c>
      <c r="Z97" s="40">
        <f t="shared" si="31"/>
        <v>1123.6499999999999</v>
      </c>
      <c r="AA97" s="40">
        <f>(U97+X97)*3%</f>
        <v>224.73</v>
      </c>
      <c r="AB97" s="41">
        <v>547.96</v>
      </c>
      <c r="AC97" s="40">
        <f>(U97+X97)*2%</f>
        <v>149.82</v>
      </c>
      <c r="AD97" s="40">
        <f>U97/30*15</f>
        <v>3745.5</v>
      </c>
      <c r="AE97" s="42">
        <v>375</v>
      </c>
      <c r="AF97" s="42">
        <v>70.099999999999994</v>
      </c>
      <c r="AG97" s="40">
        <f t="shared" si="32"/>
        <v>66.765000000000001</v>
      </c>
      <c r="AH97" s="40">
        <f>(AE97+AF97)*3%</f>
        <v>13.353</v>
      </c>
      <c r="AI97" s="40">
        <f>Z97*4%</f>
        <v>44.945999999999998</v>
      </c>
      <c r="AJ97" s="40">
        <f>(AE97+AF97)*2%</f>
        <v>8.902000000000001</v>
      </c>
      <c r="AK97" s="42">
        <f t="shared" si="17"/>
        <v>21.918400000000002</v>
      </c>
      <c r="AL97" s="42">
        <f t="shared" si="17"/>
        <v>5.9927999999999999</v>
      </c>
      <c r="AM97" s="42">
        <f>U97*6.58%</f>
        <v>492.90779999999995</v>
      </c>
      <c r="AN97" s="42">
        <f>AE97/30*5</f>
        <v>62.5</v>
      </c>
      <c r="AO97" s="42">
        <f>AE97/30*15</f>
        <v>187.5</v>
      </c>
      <c r="AP97" s="42">
        <f>AE97/30*50</f>
        <v>625</v>
      </c>
      <c r="AQ97" s="42">
        <f>SUM(AE97+AF97+AG97+AH97+AI97+AJ97+AK97+AL97)*12+(AM97+AN97+AO97+AP97)</f>
        <v>8651.6342000000004</v>
      </c>
      <c r="AR97" s="40">
        <f>+U97/30*5</f>
        <v>1248.5</v>
      </c>
      <c r="AS97" s="40">
        <f>+U97/30*50</f>
        <v>12485</v>
      </c>
      <c r="AT97" s="40">
        <v>7200</v>
      </c>
      <c r="AU97" s="40">
        <f>(U97+V97+W97+X97+Z97+AA97+AB97+AC97)*12+(Y97+AV97+AD97+AR97+AS97+AT97+AQ97)</f>
        <v>164150.65419999999</v>
      </c>
      <c r="AV97" s="54"/>
      <c r="AW97" s="55"/>
      <c r="AX97" s="55"/>
      <c r="AY97" s="55"/>
      <c r="AZ97" s="55"/>
      <c r="BA97" s="30"/>
      <c r="BB97" s="30"/>
      <c r="BC97" s="30"/>
      <c r="BD97" s="30"/>
    </row>
    <row r="98" spans="2:56" s="63" customFormat="1" ht="18" x14ac:dyDescent="0.25">
      <c r="B98" s="32">
        <v>94</v>
      </c>
      <c r="C98" s="33">
        <v>10</v>
      </c>
      <c r="D98" s="33">
        <v>1</v>
      </c>
      <c r="E98" s="32">
        <v>20</v>
      </c>
      <c r="F98" s="32">
        <v>94</v>
      </c>
      <c r="G98" s="32">
        <v>270</v>
      </c>
      <c r="H98" s="32"/>
      <c r="I98" s="59" t="s">
        <v>280</v>
      </c>
      <c r="J98" s="34" t="s">
        <v>280</v>
      </c>
      <c r="K98" s="36"/>
      <c r="L98" s="33"/>
      <c r="M98" s="33">
        <v>4</v>
      </c>
      <c r="N98" s="33">
        <v>30</v>
      </c>
      <c r="O98" s="33" t="s">
        <v>57</v>
      </c>
      <c r="P98" s="38" t="s">
        <v>68</v>
      </c>
      <c r="Q98" s="39" t="s">
        <v>59</v>
      </c>
      <c r="R98" s="39" t="s">
        <v>60</v>
      </c>
      <c r="S98" s="40">
        <v>7491</v>
      </c>
      <c r="T98" s="40">
        <v>0</v>
      </c>
      <c r="U98" s="40">
        <f t="shared" si="19"/>
        <v>7491</v>
      </c>
      <c r="V98" s="40">
        <v>682</v>
      </c>
      <c r="W98" s="40">
        <v>412</v>
      </c>
      <c r="X98" s="40">
        <v>0</v>
      </c>
      <c r="Y98" s="40">
        <v>0</v>
      </c>
      <c r="Z98" s="40">
        <f t="shared" si="31"/>
        <v>1123.6499999999999</v>
      </c>
      <c r="AA98" s="40">
        <f t="shared" si="20"/>
        <v>224.73</v>
      </c>
      <c r="AB98" s="41">
        <v>533.72</v>
      </c>
      <c r="AC98" s="40">
        <f t="shared" si="21"/>
        <v>149.82</v>
      </c>
      <c r="AD98" s="40">
        <f t="shared" si="18"/>
        <v>3745.5</v>
      </c>
      <c r="AE98" s="42">
        <v>375</v>
      </c>
      <c r="AF98" s="42">
        <v>70.099999999999994</v>
      </c>
      <c r="AG98" s="40">
        <f t="shared" si="32"/>
        <v>66.765000000000001</v>
      </c>
      <c r="AH98" s="40">
        <f t="shared" si="22"/>
        <v>13.353</v>
      </c>
      <c r="AI98" s="40">
        <f t="shared" si="23"/>
        <v>44.945999999999998</v>
      </c>
      <c r="AJ98" s="40">
        <f t="shared" si="24"/>
        <v>8.902000000000001</v>
      </c>
      <c r="AK98" s="42">
        <f t="shared" si="17"/>
        <v>21.348800000000001</v>
      </c>
      <c r="AL98" s="42">
        <f t="shared" si="17"/>
        <v>5.9927999999999999</v>
      </c>
      <c r="AM98" s="42">
        <v>0</v>
      </c>
      <c r="AN98" s="42">
        <f t="shared" si="25"/>
        <v>62.5</v>
      </c>
      <c r="AO98" s="42">
        <f t="shared" si="26"/>
        <v>187.5</v>
      </c>
      <c r="AP98" s="42">
        <f t="shared" si="27"/>
        <v>625</v>
      </c>
      <c r="AQ98" s="42">
        <f t="shared" si="28"/>
        <v>8151.8912</v>
      </c>
      <c r="AR98" s="40">
        <f t="shared" si="29"/>
        <v>1248.5</v>
      </c>
      <c r="AS98" s="40">
        <f t="shared" si="30"/>
        <v>12485</v>
      </c>
      <c r="AT98" s="40">
        <v>7200</v>
      </c>
      <c r="AU98" s="40">
        <f t="shared" si="33"/>
        <v>160233.93119999999</v>
      </c>
      <c r="AV98" s="55"/>
      <c r="AW98" s="55"/>
      <c r="AX98" s="55"/>
      <c r="AY98" s="55"/>
      <c r="AZ98" s="55"/>
      <c r="BA98" s="46"/>
      <c r="BB98" s="46"/>
      <c r="BC98" s="46"/>
      <c r="BD98" s="46"/>
    </row>
    <row r="99" spans="2:56" s="63" customFormat="1" ht="18" x14ac:dyDescent="0.25">
      <c r="B99" s="32">
        <v>95</v>
      </c>
      <c r="C99" s="33">
        <v>10</v>
      </c>
      <c r="D99" s="33">
        <v>1</v>
      </c>
      <c r="E99" s="32">
        <v>20</v>
      </c>
      <c r="F99" s="32">
        <v>95</v>
      </c>
      <c r="G99" s="32">
        <v>270</v>
      </c>
      <c r="H99" s="32"/>
      <c r="I99" s="34" t="s">
        <v>280</v>
      </c>
      <c r="J99" s="34" t="s">
        <v>280</v>
      </c>
      <c r="K99" s="37"/>
      <c r="L99" s="33"/>
      <c r="M99" s="33">
        <v>4</v>
      </c>
      <c r="N99" s="33">
        <v>30</v>
      </c>
      <c r="O99" s="33" t="s">
        <v>57</v>
      </c>
      <c r="P99" s="38" t="s">
        <v>68</v>
      </c>
      <c r="Q99" s="39" t="s">
        <v>59</v>
      </c>
      <c r="R99" s="39" t="s">
        <v>60</v>
      </c>
      <c r="S99" s="40">
        <v>7491</v>
      </c>
      <c r="T99" s="40">
        <v>0</v>
      </c>
      <c r="U99" s="40">
        <f>+S99+T99</f>
        <v>7491</v>
      </c>
      <c r="V99" s="40">
        <v>682</v>
      </c>
      <c r="W99" s="40">
        <v>412</v>
      </c>
      <c r="X99" s="40">
        <v>0</v>
      </c>
      <c r="Y99" s="40">
        <v>0</v>
      </c>
      <c r="Z99" s="40">
        <f t="shared" si="31"/>
        <v>1123.6499999999999</v>
      </c>
      <c r="AA99" s="40">
        <f t="shared" si="20"/>
        <v>224.73</v>
      </c>
      <c r="AB99" s="41">
        <v>541.28</v>
      </c>
      <c r="AC99" s="40">
        <f t="shared" si="21"/>
        <v>149.82</v>
      </c>
      <c r="AD99" s="40">
        <f t="shared" si="18"/>
        <v>3745.5</v>
      </c>
      <c r="AE99" s="42">
        <v>375</v>
      </c>
      <c r="AF99" s="42">
        <v>70.099999999999994</v>
      </c>
      <c r="AG99" s="40">
        <f t="shared" si="32"/>
        <v>66.765000000000001</v>
      </c>
      <c r="AH99" s="40">
        <f t="shared" si="22"/>
        <v>13.353</v>
      </c>
      <c r="AI99" s="40">
        <f t="shared" si="23"/>
        <v>44.945999999999998</v>
      </c>
      <c r="AJ99" s="40">
        <f t="shared" si="24"/>
        <v>8.902000000000001</v>
      </c>
      <c r="AK99" s="42">
        <f t="shared" si="17"/>
        <v>21.651199999999999</v>
      </c>
      <c r="AL99" s="42">
        <f t="shared" si="17"/>
        <v>5.9927999999999999</v>
      </c>
      <c r="AM99" s="42">
        <f>U99*6.58%</f>
        <v>492.90779999999995</v>
      </c>
      <c r="AN99" s="42">
        <f t="shared" si="25"/>
        <v>62.5</v>
      </c>
      <c r="AO99" s="42">
        <f t="shared" si="26"/>
        <v>187.5</v>
      </c>
      <c r="AP99" s="42">
        <f t="shared" si="27"/>
        <v>625</v>
      </c>
      <c r="AQ99" s="42">
        <f t="shared" si="28"/>
        <v>8648.4278000000013</v>
      </c>
      <c r="AR99" s="40">
        <f t="shared" si="29"/>
        <v>1248.5</v>
      </c>
      <c r="AS99" s="40">
        <f t="shared" si="30"/>
        <v>12485</v>
      </c>
      <c r="AT99" s="40">
        <v>7200</v>
      </c>
      <c r="AU99" s="40">
        <f t="shared" si="33"/>
        <v>160821.18780000001</v>
      </c>
      <c r="AV99" s="54"/>
      <c r="AW99" s="55"/>
      <c r="AX99" s="55"/>
      <c r="AY99" s="55"/>
      <c r="AZ99" s="55"/>
      <c r="BA99" s="30"/>
      <c r="BB99" s="30"/>
      <c r="BC99" s="30"/>
      <c r="BD99" s="30"/>
    </row>
    <row r="100" spans="2:56" s="63" customFormat="1" ht="18" x14ac:dyDescent="0.25">
      <c r="B100" s="32">
        <v>96</v>
      </c>
      <c r="C100" s="33">
        <v>10</v>
      </c>
      <c r="D100" s="33">
        <v>1</v>
      </c>
      <c r="E100" s="32">
        <v>20</v>
      </c>
      <c r="F100" s="32">
        <v>96</v>
      </c>
      <c r="G100" s="32">
        <v>270</v>
      </c>
      <c r="H100" s="32"/>
      <c r="I100" s="59" t="s">
        <v>280</v>
      </c>
      <c r="J100" s="34" t="s">
        <v>280</v>
      </c>
      <c r="K100" s="36"/>
      <c r="L100" s="33"/>
      <c r="M100" s="33">
        <v>6</v>
      </c>
      <c r="N100" s="33">
        <v>30</v>
      </c>
      <c r="O100" s="33" t="s">
        <v>57</v>
      </c>
      <c r="P100" s="38" t="s">
        <v>58</v>
      </c>
      <c r="Q100" s="39" t="s">
        <v>74</v>
      </c>
      <c r="R100" s="39" t="s">
        <v>74</v>
      </c>
      <c r="S100" s="40">
        <v>8051.1</v>
      </c>
      <c r="T100" s="40">
        <v>0</v>
      </c>
      <c r="U100" s="40">
        <f>+S100+T100</f>
        <v>8051.1</v>
      </c>
      <c r="V100" s="40">
        <v>767</v>
      </c>
      <c r="W100" s="40">
        <v>513</v>
      </c>
      <c r="X100" s="40">
        <v>0</v>
      </c>
      <c r="Y100" s="40">
        <v>0</v>
      </c>
      <c r="Z100" s="40">
        <f t="shared" si="31"/>
        <v>1207.665</v>
      </c>
      <c r="AA100" s="40">
        <f t="shared" si="20"/>
        <v>241.53300000000002</v>
      </c>
      <c r="AB100" s="41">
        <v>560.44000000000005</v>
      </c>
      <c r="AC100" s="40">
        <f t="shared" si="21"/>
        <v>161.02200000000002</v>
      </c>
      <c r="AD100" s="40">
        <f t="shared" si="18"/>
        <v>4025.55</v>
      </c>
      <c r="AE100" s="42">
        <v>388</v>
      </c>
      <c r="AF100" s="42">
        <v>70.099999999999994</v>
      </c>
      <c r="AG100" s="40">
        <f t="shared" si="32"/>
        <v>68.715000000000003</v>
      </c>
      <c r="AH100" s="40">
        <f t="shared" si="22"/>
        <v>13.743</v>
      </c>
      <c r="AI100" s="40">
        <f t="shared" si="23"/>
        <v>48.306600000000003</v>
      </c>
      <c r="AJ100" s="40">
        <f t="shared" si="24"/>
        <v>9.1620000000000008</v>
      </c>
      <c r="AK100" s="42">
        <f t="shared" si="17"/>
        <v>22.417600000000004</v>
      </c>
      <c r="AL100" s="42">
        <f t="shared" si="17"/>
        <v>6.4408800000000008</v>
      </c>
      <c r="AM100" s="42">
        <v>0</v>
      </c>
      <c r="AN100" s="42">
        <f t="shared" si="25"/>
        <v>64.666666666666671</v>
      </c>
      <c r="AO100" s="42">
        <f t="shared" si="26"/>
        <v>194</v>
      </c>
      <c r="AP100" s="42">
        <f t="shared" si="27"/>
        <v>646.66666666666663</v>
      </c>
      <c r="AQ100" s="42">
        <f t="shared" si="28"/>
        <v>8427.954293333336</v>
      </c>
      <c r="AR100" s="40">
        <f t="shared" si="29"/>
        <v>1341.85</v>
      </c>
      <c r="AS100" s="40">
        <f t="shared" si="30"/>
        <v>13418.5</v>
      </c>
      <c r="AT100" s="40">
        <v>7200</v>
      </c>
      <c r="AU100" s="40">
        <f t="shared" si="33"/>
        <v>172434.97429333333</v>
      </c>
      <c r="AV100" s="54"/>
      <c r="AW100" s="55"/>
      <c r="AX100" s="55"/>
      <c r="AY100" s="55"/>
      <c r="AZ100" s="55"/>
      <c r="BA100" s="30"/>
      <c r="BB100" s="30"/>
      <c r="BC100" s="30"/>
      <c r="BD100" s="30"/>
    </row>
    <row r="101" spans="2:56" s="63" customFormat="1" ht="18" x14ac:dyDescent="0.25">
      <c r="B101" s="32">
        <v>97</v>
      </c>
      <c r="C101" s="33">
        <v>10</v>
      </c>
      <c r="D101" s="33">
        <v>1</v>
      </c>
      <c r="E101" s="32">
        <v>20</v>
      </c>
      <c r="F101" s="32">
        <v>97</v>
      </c>
      <c r="G101" s="32">
        <v>270</v>
      </c>
      <c r="H101" s="32"/>
      <c r="I101" s="34" t="s">
        <v>280</v>
      </c>
      <c r="J101" s="35" t="s">
        <v>280</v>
      </c>
      <c r="K101" s="37"/>
      <c r="L101" s="33"/>
      <c r="M101" s="33">
        <v>6</v>
      </c>
      <c r="N101" s="33">
        <v>30</v>
      </c>
      <c r="O101" s="33" t="s">
        <v>57</v>
      </c>
      <c r="P101" s="38" t="s">
        <v>285</v>
      </c>
      <c r="Q101" s="39" t="s">
        <v>59</v>
      </c>
      <c r="R101" s="39" t="s">
        <v>60</v>
      </c>
      <c r="S101" s="40">
        <v>8051.1</v>
      </c>
      <c r="T101" s="40">
        <v>0</v>
      </c>
      <c r="U101" s="40">
        <f>+S101+T101</f>
        <v>8051.1</v>
      </c>
      <c r="V101" s="40">
        <v>767</v>
      </c>
      <c r="W101" s="40">
        <v>513</v>
      </c>
      <c r="X101" s="40">
        <v>0</v>
      </c>
      <c r="Y101" s="40">
        <v>0</v>
      </c>
      <c r="Z101" s="40">
        <f t="shared" si="31"/>
        <v>1207.665</v>
      </c>
      <c r="AA101" s="40">
        <f>(U101+X101)*3%</f>
        <v>241.53300000000002</v>
      </c>
      <c r="AB101" s="41">
        <v>565.5</v>
      </c>
      <c r="AC101" s="40">
        <f>(U101+X101)*2%</f>
        <v>161.02200000000002</v>
      </c>
      <c r="AD101" s="40">
        <f>U101/30*15</f>
        <v>4025.55</v>
      </c>
      <c r="AE101" s="42">
        <v>388</v>
      </c>
      <c r="AF101" s="42">
        <v>70.099999999999994</v>
      </c>
      <c r="AG101" s="40">
        <f t="shared" si="32"/>
        <v>68.715000000000003</v>
      </c>
      <c r="AH101" s="40">
        <f>(AE101+AF101)*3%</f>
        <v>13.743</v>
      </c>
      <c r="AI101" s="40">
        <f>Z101*4%</f>
        <v>48.306600000000003</v>
      </c>
      <c r="AJ101" s="40">
        <f>(AE101+AF101)*2%</f>
        <v>9.1620000000000008</v>
      </c>
      <c r="AK101" s="42">
        <f>AB101*4%</f>
        <v>22.62</v>
      </c>
      <c r="AL101" s="42">
        <f>AC101*4%</f>
        <v>6.4408800000000008</v>
      </c>
      <c r="AM101" s="42">
        <v>0</v>
      </c>
      <c r="AN101" s="42">
        <f>AE101/30*5</f>
        <v>64.666666666666671</v>
      </c>
      <c r="AO101" s="42">
        <f>AE101/30*15</f>
        <v>194</v>
      </c>
      <c r="AP101" s="42">
        <f>AE101/30*50</f>
        <v>646.66666666666663</v>
      </c>
      <c r="AQ101" s="42">
        <f>SUM(AE101+AF101+AG101+AH101+AI101+AJ101+AK101+AL101)*12+(AM101+AN101+AO101+AP101)</f>
        <v>8430.3830933333356</v>
      </c>
      <c r="AR101" s="40">
        <f>+U101/30*5</f>
        <v>1341.85</v>
      </c>
      <c r="AS101" s="40">
        <f>+U101/30*50</f>
        <v>13418.5</v>
      </c>
      <c r="AT101" s="40">
        <v>7200</v>
      </c>
      <c r="AU101" s="40">
        <f t="shared" si="33"/>
        <v>172498.12309333333</v>
      </c>
      <c r="AV101" s="54"/>
      <c r="AW101" s="55"/>
      <c r="AX101" s="55"/>
      <c r="AY101" s="55"/>
      <c r="AZ101" s="55"/>
      <c r="BA101" s="30"/>
      <c r="BB101" s="30"/>
      <c r="BC101" s="30"/>
      <c r="BD101" s="30"/>
    </row>
    <row r="102" spans="2:56" s="63" customFormat="1" ht="18" x14ac:dyDescent="0.25">
      <c r="B102" s="32">
        <v>98</v>
      </c>
      <c r="C102" s="33">
        <v>10</v>
      </c>
      <c r="D102" s="33">
        <v>1</v>
      </c>
      <c r="E102" s="32">
        <v>20</v>
      </c>
      <c r="F102" s="32">
        <v>98</v>
      </c>
      <c r="G102" s="32">
        <v>270</v>
      </c>
      <c r="H102" s="32"/>
      <c r="I102" s="34" t="s">
        <v>280</v>
      </c>
      <c r="J102" s="35" t="s">
        <v>280</v>
      </c>
      <c r="K102" s="37"/>
      <c r="L102" s="33"/>
      <c r="M102" s="33">
        <v>6</v>
      </c>
      <c r="N102" s="33">
        <v>30</v>
      </c>
      <c r="O102" s="33" t="s">
        <v>57</v>
      </c>
      <c r="P102" s="38" t="s">
        <v>286</v>
      </c>
      <c r="Q102" s="39" t="s">
        <v>287</v>
      </c>
      <c r="R102" s="39" t="s">
        <v>74</v>
      </c>
      <c r="S102" s="40">
        <v>8051.1</v>
      </c>
      <c r="T102" s="40">
        <v>0</v>
      </c>
      <c r="U102" s="40">
        <f>+S102+T102</f>
        <v>8051.1</v>
      </c>
      <c r="V102" s="40">
        <v>767</v>
      </c>
      <c r="W102" s="40">
        <v>513</v>
      </c>
      <c r="X102" s="40">
        <v>0</v>
      </c>
      <c r="Y102" s="40">
        <f>U102/30*25%*52</f>
        <v>3488.81</v>
      </c>
      <c r="Z102" s="40">
        <f t="shared" si="31"/>
        <v>1207.665</v>
      </c>
      <c r="AA102" s="40">
        <f t="shared" si="20"/>
        <v>241.53300000000002</v>
      </c>
      <c r="AB102" s="41">
        <v>528.19000000000005</v>
      </c>
      <c r="AC102" s="40">
        <f t="shared" si="21"/>
        <v>161.02200000000002</v>
      </c>
      <c r="AD102" s="40">
        <f t="shared" si="18"/>
        <v>4025.55</v>
      </c>
      <c r="AE102" s="42">
        <v>388</v>
      </c>
      <c r="AF102" s="42">
        <v>70.099999999999994</v>
      </c>
      <c r="AG102" s="40">
        <f t="shared" si="32"/>
        <v>68.715000000000003</v>
      </c>
      <c r="AH102" s="40">
        <f t="shared" si="22"/>
        <v>13.743</v>
      </c>
      <c r="AI102" s="40">
        <f t="shared" si="23"/>
        <v>48.306600000000003</v>
      </c>
      <c r="AJ102" s="40">
        <f t="shared" si="24"/>
        <v>9.1620000000000008</v>
      </c>
      <c r="AK102" s="42">
        <f t="shared" si="17"/>
        <v>21.127600000000001</v>
      </c>
      <c r="AL102" s="42">
        <f t="shared" si="17"/>
        <v>6.4408800000000008</v>
      </c>
      <c r="AM102" s="42">
        <v>0</v>
      </c>
      <c r="AN102" s="42">
        <f t="shared" si="25"/>
        <v>64.666666666666671</v>
      </c>
      <c r="AO102" s="42">
        <f t="shared" si="26"/>
        <v>194</v>
      </c>
      <c r="AP102" s="42">
        <f t="shared" si="27"/>
        <v>646.66666666666663</v>
      </c>
      <c r="AQ102" s="42">
        <f t="shared" si="28"/>
        <v>8412.4742933333364</v>
      </c>
      <c r="AR102" s="40">
        <f t="shared" si="29"/>
        <v>1341.85</v>
      </c>
      <c r="AS102" s="40">
        <f t="shared" si="30"/>
        <v>13418.5</v>
      </c>
      <c r="AT102" s="40">
        <v>7200</v>
      </c>
      <c r="AU102" s="40">
        <f t="shared" si="33"/>
        <v>175521.30429333332</v>
      </c>
      <c r="AV102" s="66"/>
      <c r="AW102" s="55"/>
      <c r="AX102" s="55"/>
      <c r="AY102" s="55"/>
      <c r="AZ102" s="55"/>
      <c r="BA102" s="30"/>
      <c r="BB102" s="30"/>
      <c r="BC102" s="30"/>
      <c r="BD102" s="30"/>
    </row>
    <row r="103" spans="2:56" s="63" customFormat="1" ht="18" x14ac:dyDescent="0.25">
      <c r="B103" s="32">
        <v>99</v>
      </c>
      <c r="C103" s="33">
        <v>10</v>
      </c>
      <c r="D103" s="33">
        <v>1</v>
      </c>
      <c r="E103" s="32">
        <v>20</v>
      </c>
      <c r="F103" s="32">
        <v>99</v>
      </c>
      <c r="G103" s="32">
        <v>270</v>
      </c>
      <c r="H103" s="32"/>
      <c r="I103" s="34" t="s">
        <v>280</v>
      </c>
      <c r="J103" s="35" t="s">
        <v>280</v>
      </c>
      <c r="K103" s="37"/>
      <c r="L103" s="33"/>
      <c r="M103" s="33">
        <v>6</v>
      </c>
      <c r="N103" s="33">
        <v>30</v>
      </c>
      <c r="O103" s="33" t="s">
        <v>57</v>
      </c>
      <c r="P103" s="38" t="s">
        <v>286</v>
      </c>
      <c r="Q103" s="39" t="s">
        <v>287</v>
      </c>
      <c r="R103" s="39" t="s">
        <v>74</v>
      </c>
      <c r="S103" s="40">
        <v>8051.1</v>
      </c>
      <c r="T103" s="40">
        <v>0</v>
      </c>
      <c r="U103" s="40">
        <f>+S103+T103</f>
        <v>8051.1</v>
      </c>
      <c r="V103" s="40">
        <v>767</v>
      </c>
      <c r="W103" s="40">
        <v>513</v>
      </c>
      <c r="X103" s="40">
        <v>0</v>
      </c>
      <c r="Y103" s="40">
        <f>U103/30*25%*52</f>
        <v>3488.81</v>
      </c>
      <c r="Z103" s="40">
        <f t="shared" si="31"/>
        <v>1207.665</v>
      </c>
      <c r="AA103" s="40">
        <f>(U103+X103)*3%</f>
        <v>241.53300000000002</v>
      </c>
      <c r="AB103" s="41">
        <v>528.19000000000005</v>
      </c>
      <c r="AC103" s="40">
        <f>(U103+X103)*2%</f>
        <v>161.02200000000002</v>
      </c>
      <c r="AD103" s="40">
        <f>U103/30*15</f>
        <v>4025.55</v>
      </c>
      <c r="AE103" s="42">
        <v>388</v>
      </c>
      <c r="AF103" s="42">
        <v>70.099999999999994</v>
      </c>
      <c r="AG103" s="40">
        <f t="shared" si="32"/>
        <v>68.715000000000003</v>
      </c>
      <c r="AH103" s="40">
        <f>(AE103+AF103)*3%</f>
        <v>13.743</v>
      </c>
      <c r="AI103" s="40">
        <f>Z103*4%</f>
        <v>48.306600000000003</v>
      </c>
      <c r="AJ103" s="40">
        <f>(AE103+AF103)*2%</f>
        <v>9.1620000000000008</v>
      </c>
      <c r="AK103" s="42">
        <f>AB103*4%</f>
        <v>21.127600000000001</v>
      </c>
      <c r="AL103" s="42">
        <f>AC103*4%</f>
        <v>6.4408800000000008</v>
      </c>
      <c r="AM103" s="42">
        <v>0</v>
      </c>
      <c r="AN103" s="42">
        <f>AE103/30*5</f>
        <v>64.666666666666671</v>
      </c>
      <c r="AO103" s="42">
        <f>AE103/30*15</f>
        <v>194</v>
      </c>
      <c r="AP103" s="42">
        <f>AE103/30*50</f>
        <v>646.66666666666663</v>
      </c>
      <c r="AQ103" s="42">
        <f>SUM(AE103+AF103+AG103+AH103+AI103+AJ103+AK103+AL103)*12+(AM103+AN103+AO103+AP103)</f>
        <v>8412.4742933333364</v>
      </c>
      <c r="AR103" s="40">
        <f>+U103/30*5</f>
        <v>1341.85</v>
      </c>
      <c r="AS103" s="40">
        <f>+U103/30*50</f>
        <v>13418.5</v>
      </c>
      <c r="AT103" s="40">
        <v>7200</v>
      </c>
      <c r="AU103" s="40">
        <f t="shared" si="33"/>
        <v>175521.30429333332</v>
      </c>
      <c r="AV103" s="66"/>
      <c r="AW103" s="55"/>
      <c r="AX103" s="55"/>
      <c r="AY103" s="55"/>
      <c r="AZ103" s="55"/>
      <c r="BA103" s="30"/>
      <c r="BB103" s="30"/>
      <c r="BC103" s="30"/>
      <c r="BD103" s="30"/>
    </row>
    <row r="104" spans="2:56" s="63" customFormat="1" ht="18" x14ac:dyDescent="0.25">
      <c r="B104" s="32">
        <v>100</v>
      </c>
      <c r="C104" s="33">
        <v>10</v>
      </c>
      <c r="D104" s="33">
        <v>1</v>
      </c>
      <c r="E104" s="32">
        <v>20</v>
      </c>
      <c r="F104" s="32">
        <v>100</v>
      </c>
      <c r="G104" s="32">
        <v>270</v>
      </c>
      <c r="H104" s="32"/>
      <c r="I104" s="34" t="s">
        <v>280</v>
      </c>
      <c r="J104" s="34" t="s">
        <v>280</v>
      </c>
      <c r="K104" s="37"/>
      <c r="L104" s="33"/>
      <c r="M104" s="33">
        <v>3</v>
      </c>
      <c r="N104" s="33">
        <v>30</v>
      </c>
      <c r="O104" s="33" t="s">
        <v>57</v>
      </c>
      <c r="P104" s="38" t="s">
        <v>64</v>
      </c>
      <c r="Q104" s="39" t="s">
        <v>65</v>
      </c>
      <c r="R104" s="39" t="s">
        <v>60</v>
      </c>
      <c r="S104" s="40">
        <v>7227.3</v>
      </c>
      <c r="T104" s="40">
        <v>0</v>
      </c>
      <c r="U104" s="40">
        <f>S104+T104</f>
        <v>7227.3</v>
      </c>
      <c r="V104" s="40">
        <v>672</v>
      </c>
      <c r="W104" s="40">
        <v>402</v>
      </c>
      <c r="X104" s="40">
        <v>0</v>
      </c>
      <c r="Y104" s="40">
        <v>0</v>
      </c>
      <c r="Z104" s="40">
        <f t="shared" si="31"/>
        <v>1084.095</v>
      </c>
      <c r="AA104" s="40">
        <f t="shared" si="20"/>
        <v>216.81899999999999</v>
      </c>
      <c r="AB104" s="41">
        <v>533.72</v>
      </c>
      <c r="AC104" s="40">
        <f t="shared" si="21"/>
        <v>144.54600000000002</v>
      </c>
      <c r="AD104" s="40">
        <f t="shared" si="18"/>
        <v>3613.65</v>
      </c>
      <c r="AE104" s="42">
        <v>375</v>
      </c>
      <c r="AF104" s="42">
        <v>70.099999999999994</v>
      </c>
      <c r="AG104" s="40">
        <f t="shared" si="32"/>
        <v>66.765000000000001</v>
      </c>
      <c r="AH104" s="40">
        <f t="shared" si="22"/>
        <v>13.353</v>
      </c>
      <c r="AI104" s="40">
        <f t="shared" si="23"/>
        <v>43.363800000000005</v>
      </c>
      <c r="AJ104" s="40">
        <f t="shared" si="24"/>
        <v>8.902000000000001</v>
      </c>
      <c r="AK104" s="42">
        <f t="shared" si="17"/>
        <v>21.348800000000001</v>
      </c>
      <c r="AL104" s="42">
        <f t="shared" si="17"/>
        <v>5.7818400000000008</v>
      </c>
      <c r="AM104" s="42">
        <v>0</v>
      </c>
      <c r="AN104" s="42">
        <f t="shared" si="25"/>
        <v>62.5</v>
      </c>
      <c r="AO104" s="42">
        <f t="shared" si="26"/>
        <v>187.5</v>
      </c>
      <c r="AP104" s="42">
        <f t="shared" si="27"/>
        <v>625</v>
      </c>
      <c r="AQ104" s="42">
        <f t="shared" si="28"/>
        <v>8130.3732799999998</v>
      </c>
      <c r="AR104" s="40">
        <f t="shared" si="29"/>
        <v>1204.55</v>
      </c>
      <c r="AS104" s="40">
        <f t="shared" si="30"/>
        <v>12045.5</v>
      </c>
      <c r="AT104" s="40">
        <v>7200</v>
      </c>
      <c r="AU104" s="40">
        <f t="shared" si="33"/>
        <v>155559.83327999999</v>
      </c>
      <c r="AV104" s="67"/>
      <c r="AW104" s="55"/>
      <c r="AX104" s="55"/>
      <c r="AY104" s="55"/>
      <c r="AZ104" s="55"/>
      <c r="BA104" s="30"/>
      <c r="BB104" s="30"/>
      <c r="BC104" s="30"/>
      <c r="BD104" s="30"/>
    </row>
    <row r="105" spans="2:56" s="63" customFormat="1" ht="18" x14ac:dyDescent="0.25">
      <c r="B105" s="32">
        <v>101</v>
      </c>
      <c r="C105" s="33">
        <v>10</v>
      </c>
      <c r="D105" s="33">
        <v>1</v>
      </c>
      <c r="E105" s="32">
        <v>20</v>
      </c>
      <c r="F105" s="32">
        <v>101</v>
      </c>
      <c r="G105" s="32">
        <v>270</v>
      </c>
      <c r="H105" s="32"/>
      <c r="I105" s="34" t="s">
        <v>280</v>
      </c>
      <c r="J105" s="34" t="s">
        <v>280</v>
      </c>
      <c r="K105" s="37"/>
      <c r="L105" s="33"/>
      <c r="M105" s="33">
        <v>3</v>
      </c>
      <c r="N105" s="33">
        <v>30</v>
      </c>
      <c r="O105" s="33" t="s">
        <v>57</v>
      </c>
      <c r="P105" s="38" t="s">
        <v>64</v>
      </c>
      <c r="Q105" s="39" t="s">
        <v>65</v>
      </c>
      <c r="R105" s="39" t="s">
        <v>60</v>
      </c>
      <c r="S105" s="40">
        <v>7227.3</v>
      </c>
      <c r="T105" s="40">
        <v>0</v>
      </c>
      <c r="U105" s="40">
        <f>+S105+T105</f>
        <v>7227.3</v>
      </c>
      <c r="V105" s="40">
        <v>672</v>
      </c>
      <c r="W105" s="40">
        <v>402</v>
      </c>
      <c r="X105" s="40">
        <v>0</v>
      </c>
      <c r="Y105" s="40">
        <v>0</v>
      </c>
      <c r="Z105" s="40">
        <f t="shared" si="31"/>
        <v>1084.095</v>
      </c>
      <c r="AA105" s="40">
        <f t="shared" si="20"/>
        <v>216.81899999999999</v>
      </c>
      <c r="AB105" s="41">
        <v>533.72</v>
      </c>
      <c r="AC105" s="40">
        <f t="shared" si="21"/>
        <v>144.54600000000002</v>
      </c>
      <c r="AD105" s="40">
        <f t="shared" si="18"/>
        <v>3613.65</v>
      </c>
      <c r="AE105" s="42">
        <v>375</v>
      </c>
      <c r="AF105" s="42">
        <v>70.099999999999994</v>
      </c>
      <c r="AG105" s="40">
        <f t="shared" si="32"/>
        <v>66.765000000000001</v>
      </c>
      <c r="AH105" s="40">
        <f t="shared" si="22"/>
        <v>13.353</v>
      </c>
      <c r="AI105" s="40">
        <f t="shared" si="23"/>
        <v>43.363800000000005</v>
      </c>
      <c r="AJ105" s="40">
        <f t="shared" si="24"/>
        <v>8.902000000000001</v>
      </c>
      <c r="AK105" s="42">
        <f t="shared" si="17"/>
        <v>21.348800000000001</v>
      </c>
      <c r="AL105" s="42">
        <f t="shared" si="17"/>
        <v>5.7818400000000008</v>
      </c>
      <c r="AM105" s="42">
        <v>0</v>
      </c>
      <c r="AN105" s="42">
        <f t="shared" si="25"/>
        <v>62.5</v>
      </c>
      <c r="AO105" s="42">
        <f t="shared" si="26"/>
        <v>187.5</v>
      </c>
      <c r="AP105" s="42">
        <f t="shared" si="27"/>
        <v>625</v>
      </c>
      <c r="AQ105" s="42">
        <f t="shared" si="28"/>
        <v>8130.3732799999998</v>
      </c>
      <c r="AR105" s="40">
        <f t="shared" si="29"/>
        <v>1204.55</v>
      </c>
      <c r="AS105" s="40">
        <f t="shared" si="30"/>
        <v>12045.5</v>
      </c>
      <c r="AT105" s="40">
        <v>7200</v>
      </c>
      <c r="AU105" s="40">
        <f t="shared" si="33"/>
        <v>155559.83327999999</v>
      </c>
      <c r="AV105" s="55"/>
      <c r="AW105" s="55"/>
      <c r="AX105" s="55"/>
      <c r="AY105" s="55"/>
      <c r="AZ105" s="55"/>
      <c r="BA105" s="46"/>
      <c r="BB105" s="46"/>
      <c r="BC105" s="30"/>
      <c r="BD105" s="30"/>
    </row>
    <row r="106" spans="2:56" s="63" customFormat="1" ht="18" x14ac:dyDescent="0.25">
      <c r="B106" s="32">
        <v>102</v>
      </c>
      <c r="C106" s="33">
        <v>10</v>
      </c>
      <c r="D106" s="33">
        <v>1</v>
      </c>
      <c r="E106" s="32">
        <v>20</v>
      </c>
      <c r="F106" s="32">
        <v>102</v>
      </c>
      <c r="G106" s="32">
        <v>270</v>
      </c>
      <c r="H106" s="32"/>
      <c r="I106" s="34" t="s">
        <v>280</v>
      </c>
      <c r="J106" s="34" t="s">
        <v>280</v>
      </c>
      <c r="K106" s="37"/>
      <c r="L106" s="33"/>
      <c r="M106" s="33">
        <v>3</v>
      </c>
      <c r="N106" s="33">
        <v>30</v>
      </c>
      <c r="O106" s="33" t="s">
        <v>57</v>
      </c>
      <c r="P106" s="38" t="s">
        <v>64</v>
      </c>
      <c r="Q106" s="39" t="s">
        <v>65</v>
      </c>
      <c r="R106" s="39" t="s">
        <v>60</v>
      </c>
      <c r="S106" s="40">
        <v>7227.3</v>
      </c>
      <c r="T106" s="40">
        <v>0</v>
      </c>
      <c r="U106" s="40">
        <f>+S106+T106</f>
        <v>7227.3</v>
      </c>
      <c r="V106" s="40">
        <v>672</v>
      </c>
      <c r="W106" s="40">
        <v>402</v>
      </c>
      <c r="X106" s="40">
        <v>0</v>
      </c>
      <c r="Y106" s="40">
        <v>0</v>
      </c>
      <c r="Z106" s="40">
        <f t="shared" si="31"/>
        <v>1084.095</v>
      </c>
      <c r="AA106" s="40">
        <f t="shared" si="20"/>
        <v>216.81899999999999</v>
      </c>
      <c r="AB106" s="41">
        <v>540.37</v>
      </c>
      <c r="AC106" s="40">
        <f t="shared" si="21"/>
        <v>144.54600000000002</v>
      </c>
      <c r="AD106" s="40">
        <f t="shared" si="18"/>
        <v>3613.65</v>
      </c>
      <c r="AE106" s="42">
        <v>375</v>
      </c>
      <c r="AF106" s="42">
        <v>70.099999999999994</v>
      </c>
      <c r="AG106" s="40">
        <f t="shared" si="32"/>
        <v>66.765000000000001</v>
      </c>
      <c r="AH106" s="40">
        <f t="shared" si="22"/>
        <v>13.353</v>
      </c>
      <c r="AI106" s="40">
        <f t="shared" si="23"/>
        <v>43.363800000000005</v>
      </c>
      <c r="AJ106" s="40">
        <f t="shared" si="24"/>
        <v>8.902000000000001</v>
      </c>
      <c r="AK106" s="42">
        <f t="shared" si="17"/>
        <v>21.614799999999999</v>
      </c>
      <c r="AL106" s="42">
        <f t="shared" si="17"/>
        <v>5.7818400000000008</v>
      </c>
      <c r="AM106" s="42">
        <v>0</v>
      </c>
      <c r="AN106" s="42">
        <f t="shared" si="25"/>
        <v>62.5</v>
      </c>
      <c r="AO106" s="42">
        <f t="shared" si="26"/>
        <v>187.5</v>
      </c>
      <c r="AP106" s="42">
        <f t="shared" si="27"/>
        <v>625</v>
      </c>
      <c r="AQ106" s="42">
        <f t="shared" si="28"/>
        <v>8133.5652799999989</v>
      </c>
      <c r="AR106" s="40">
        <f t="shared" si="29"/>
        <v>1204.55</v>
      </c>
      <c r="AS106" s="40">
        <f t="shared" si="30"/>
        <v>12045.5</v>
      </c>
      <c r="AT106" s="40">
        <v>7200</v>
      </c>
      <c r="AU106" s="40">
        <f t="shared" si="33"/>
        <v>155642.82527999999</v>
      </c>
      <c r="AV106" s="46"/>
      <c r="AW106" s="55"/>
      <c r="AX106" s="55"/>
      <c r="AY106" s="55"/>
      <c r="AZ106" s="55"/>
      <c r="BA106" s="30"/>
      <c r="BB106" s="30"/>
      <c r="BC106" s="30"/>
      <c r="BD106" s="30"/>
    </row>
    <row r="107" spans="2:56" ht="18" x14ac:dyDescent="0.25">
      <c r="B107" s="32">
        <v>103</v>
      </c>
      <c r="C107" s="33">
        <v>10</v>
      </c>
      <c r="D107" s="33">
        <v>1</v>
      </c>
      <c r="E107" s="32">
        <v>20</v>
      </c>
      <c r="F107" s="32">
        <v>103</v>
      </c>
      <c r="G107" s="32">
        <v>270</v>
      </c>
      <c r="H107" s="57"/>
      <c r="I107" s="34" t="s">
        <v>280</v>
      </c>
      <c r="J107" s="34" t="s">
        <v>280</v>
      </c>
      <c r="K107" s="37"/>
      <c r="L107" s="33"/>
      <c r="M107" s="33">
        <v>3</v>
      </c>
      <c r="N107" s="33">
        <v>30</v>
      </c>
      <c r="O107" s="33" t="s">
        <v>57</v>
      </c>
      <c r="P107" s="38" t="s">
        <v>64</v>
      </c>
      <c r="Q107" s="39" t="s">
        <v>65</v>
      </c>
      <c r="R107" s="39" t="s">
        <v>60</v>
      </c>
      <c r="S107" s="40">
        <v>7227.3</v>
      </c>
      <c r="T107" s="40">
        <v>0</v>
      </c>
      <c r="U107" s="40">
        <f>+S107+T107</f>
        <v>7227.3</v>
      </c>
      <c r="V107" s="40">
        <v>672</v>
      </c>
      <c r="W107" s="40">
        <v>402</v>
      </c>
      <c r="X107" s="40">
        <v>0</v>
      </c>
      <c r="Y107" s="40">
        <v>0</v>
      </c>
      <c r="Z107" s="40">
        <f t="shared" si="31"/>
        <v>1084.095</v>
      </c>
      <c r="AA107" s="40">
        <f t="shared" si="20"/>
        <v>216.81899999999999</v>
      </c>
      <c r="AB107" s="41">
        <v>533.72</v>
      </c>
      <c r="AC107" s="40">
        <f t="shared" si="21"/>
        <v>144.54600000000002</v>
      </c>
      <c r="AD107" s="40">
        <f t="shared" si="18"/>
        <v>3613.65</v>
      </c>
      <c r="AE107" s="42">
        <v>375</v>
      </c>
      <c r="AF107" s="42">
        <v>70.099999999999994</v>
      </c>
      <c r="AG107" s="40">
        <f t="shared" si="32"/>
        <v>66.765000000000001</v>
      </c>
      <c r="AH107" s="40">
        <f t="shared" si="22"/>
        <v>13.353</v>
      </c>
      <c r="AI107" s="40">
        <f t="shared" si="23"/>
        <v>43.363800000000005</v>
      </c>
      <c r="AJ107" s="40">
        <f t="shared" si="24"/>
        <v>8.902000000000001</v>
      </c>
      <c r="AK107" s="42">
        <f t="shared" si="17"/>
        <v>21.348800000000001</v>
      </c>
      <c r="AL107" s="42">
        <f t="shared" si="17"/>
        <v>5.7818400000000008</v>
      </c>
      <c r="AM107" s="42">
        <v>0</v>
      </c>
      <c r="AN107" s="42">
        <f t="shared" si="25"/>
        <v>62.5</v>
      </c>
      <c r="AO107" s="42">
        <f t="shared" si="26"/>
        <v>187.5</v>
      </c>
      <c r="AP107" s="42">
        <f t="shared" si="27"/>
        <v>625</v>
      </c>
      <c r="AQ107" s="42">
        <f t="shared" si="28"/>
        <v>8130.3732799999998</v>
      </c>
      <c r="AR107" s="40">
        <f t="shared" si="29"/>
        <v>1204.55</v>
      </c>
      <c r="AS107" s="40">
        <f t="shared" si="30"/>
        <v>12045.5</v>
      </c>
      <c r="AT107" s="40">
        <v>7200</v>
      </c>
      <c r="AU107" s="40">
        <f t="shared" si="33"/>
        <v>155559.83327999999</v>
      </c>
      <c r="AV107" s="45"/>
      <c r="AW107" s="29"/>
      <c r="AX107" s="29"/>
      <c r="AY107" s="29"/>
      <c r="AZ107" s="29"/>
      <c r="BA107" s="30"/>
      <c r="BB107" s="30"/>
      <c r="BC107" s="30"/>
      <c r="BD107" s="30"/>
    </row>
    <row r="108" spans="2:56" ht="18" x14ac:dyDescent="0.25">
      <c r="B108" s="32">
        <v>104</v>
      </c>
      <c r="C108" s="33">
        <v>10</v>
      </c>
      <c r="D108" s="33">
        <v>1</v>
      </c>
      <c r="E108" s="32">
        <v>20</v>
      </c>
      <c r="F108" s="32">
        <v>104</v>
      </c>
      <c r="G108" s="32">
        <v>270</v>
      </c>
      <c r="H108" s="32"/>
      <c r="I108" s="34" t="s">
        <v>280</v>
      </c>
      <c r="J108" s="34" t="s">
        <v>280</v>
      </c>
      <c r="K108" s="37"/>
      <c r="L108" s="33"/>
      <c r="M108" s="33">
        <v>3</v>
      </c>
      <c r="N108" s="33">
        <v>30</v>
      </c>
      <c r="O108" s="33" t="s">
        <v>57</v>
      </c>
      <c r="P108" s="38" t="s">
        <v>64</v>
      </c>
      <c r="Q108" s="39" t="s">
        <v>65</v>
      </c>
      <c r="R108" s="39" t="s">
        <v>60</v>
      </c>
      <c r="S108" s="40">
        <v>7227.3</v>
      </c>
      <c r="T108" s="40">
        <v>0</v>
      </c>
      <c r="U108" s="40">
        <f>+S108+T108</f>
        <v>7227.3</v>
      </c>
      <c r="V108" s="40">
        <v>672</v>
      </c>
      <c r="W108" s="40">
        <v>402</v>
      </c>
      <c r="X108" s="40">
        <v>0</v>
      </c>
      <c r="Y108" s="40">
        <v>0</v>
      </c>
      <c r="Z108" s="40">
        <f t="shared" si="31"/>
        <v>1084.095</v>
      </c>
      <c r="AA108" s="40">
        <f t="shared" si="20"/>
        <v>216.81899999999999</v>
      </c>
      <c r="AB108" s="41">
        <v>533.23</v>
      </c>
      <c r="AC108" s="40">
        <f t="shared" si="21"/>
        <v>144.54600000000002</v>
      </c>
      <c r="AD108" s="40">
        <f t="shared" si="18"/>
        <v>3613.65</v>
      </c>
      <c r="AE108" s="42">
        <v>375</v>
      </c>
      <c r="AF108" s="42">
        <v>70.099999999999994</v>
      </c>
      <c r="AG108" s="40">
        <f t="shared" si="32"/>
        <v>66.765000000000001</v>
      </c>
      <c r="AH108" s="40">
        <f t="shared" si="22"/>
        <v>13.353</v>
      </c>
      <c r="AI108" s="40">
        <f t="shared" si="23"/>
        <v>43.363800000000005</v>
      </c>
      <c r="AJ108" s="40">
        <f t="shared" si="24"/>
        <v>8.902000000000001</v>
      </c>
      <c r="AK108" s="42">
        <f t="shared" si="17"/>
        <v>21.3292</v>
      </c>
      <c r="AL108" s="42">
        <f t="shared" si="17"/>
        <v>5.7818400000000008</v>
      </c>
      <c r="AM108" s="42">
        <v>0</v>
      </c>
      <c r="AN108" s="42">
        <f t="shared" si="25"/>
        <v>62.5</v>
      </c>
      <c r="AO108" s="42">
        <f t="shared" si="26"/>
        <v>187.5</v>
      </c>
      <c r="AP108" s="42">
        <f t="shared" si="27"/>
        <v>625</v>
      </c>
      <c r="AQ108" s="42">
        <f t="shared" si="28"/>
        <v>8130.1380799999997</v>
      </c>
      <c r="AR108" s="40">
        <f t="shared" si="29"/>
        <v>1204.55</v>
      </c>
      <c r="AS108" s="40">
        <f t="shared" si="30"/>
        <v>12045.5</v>
      </c>
      <c r="AT108" s="40">
        <v>7200</v>
      </c>
      <c r="AU108" s="40">
        <f t="shared" si="33"/>
        <v>155553.71807999996</v>
      </c>
      <c r="AV108" s="28"/>
      <c r="AW108" s="44"/>
      <c r="AX108" s="44"/>
      <c r="AY108" s="29"/>
      <c r="AZ108" s="29"/>
      <c r="BA108" s="30"/>
      <c r="BB108" s="30"/>
      <c r="BC108" s="30"/>
      <c r="BD108" s="30"/>
    </row>
    <row r="109" spans="2:56" ht="18" x14ac:dyDescent="0.25">
      <c r="B109" s="32">
        <v>105</v>
      </c>
      <c r="C109" s="33">
        <v>10</v>
      </c>
      <c r="D109" s="33">
        <v>1</v>
      </c>
      <c r="E109" s="32">
        <v>20</v>
      </c>
      <c r="F109" s="32">
        <v>105</v>
      </c>
      <c r="G109" s="32">
        <v>270</v>
      </c>
      <c r="H109" s="32"/>
      <c r="I109" s="34" t="s">
        <v>288</v>
      </c>
      <c r="J109" s="35"/>
      <c r="K109" s="36"/>
      <c r="L109" s="33"/>
      <c r="M109" s="33">
        <v>9</v>
      </c>
      <c r="N109" s="33">
        <v>30</v>
      </c>
      <c r="O109" s="33" t="s">
        <v>57</v>
      </c>
      <c r="P109" s="38" t="s">
        <v>289</v>
      </c>
      <c r="Q109" s="39" t="s">
        <v>89</v>
      </c>
      <c r="R109" s="39" t="s">
        <v>89</v>
      </c>
      <c r="S109" s="40">
        <v>9453</v>
      </c>
      <c r="T109" s="40">
        <v>0</v>
      </c>
      <c r="U109" s="40">
        <f t="shared" si="19"/>
        <v>9453</v>
      </c>
      <c r="V109" s="40">
        <v>816</v>
      </c>
      <c r="W109" s="40">
        <v>554</v>
      </c>
      <c r="X109" s="40">
        <v>0</v>
      </c>
      <c r="Y109" s="40">
        <v>0</v>
      </c>
      <c r="Z109" s="40">
        <f t="shared" si="31"/>
        <v>1417.95</v>
      </c>
      <c r="AA109" s="40">
        <f t="shared" si="20"/>
        <v>283.58999999999997</v>
      </c>
      <c r="AB109" s="41">
        <v>588.74</v>
      </c>
      <c r="AC109" s="40">
        <f t="shared" si="21"/>
        <v>189.06</v>
      </c>
      <c r="AD109" s="40">
        <f t="shared" si="18"/>
        <v>4726.5</v>
      </c>
      <c r="AE109" s="42">
        <v>450</v>
      </c>
      <c r="AF109" s="42">
        <v>70.099999999999994</v>
      </c>
      <c r="AG109" s="40">
        <f t="shared" si="32"/>
        <v>78.015000000000001</v>
      </c>
      <c r="AH109" s="40">
        <f t="shared" si="22"/>
        <v>15.603</v>
      </c>
      <c r="AI109" s="40">
        <f t="shared" si="23"/>
        <v>56.718000000000004</v>
      </c>
      <c r="AJ109" s="40">
        <f t="shared" si="24"/>
        <v>10.402000000000001</v>
      </c>
      <c r="AK109" s="42">
        <f t="shared" si="17"/>
        <v>23.549600000000002</v>
      </c>
      <c r="AL109" s="42">
        <f t="shared" si="17"/>
        <v>7.5624000000000002</v>
      </c>
      <c r="AM109" s="42">
        <v>0</v>
      </c>
      <c r="AN109" s="42">
        <f t="shared" si="25"/>
        <v>75</v>
      </c>
      <c r="AO109" s="42">
        <f t="shared" si="26"/>
        <v>225</v>
      </c>
      <c r="AP109" s="42">
        <f t="shared" si="27"/>
        <v>750</v>
      </c>
      <c r="AQ109" s="42">
        <f t="shared" si="28"/>
        <v>9593.4000000000015</v>
      </c>
      <c r="AR109" s="40">
        <f t="shared" si="29"/>
        <v>1575.5</v>
      </c>
      <c r="AS109" s="40">
        <f t="shared" si="30"/>
        <v>15755.000000000002</v>
      </c>
      <c r="AT109" s="40">
        <v>7200</v>
      </c>
      <c r="AU109" s="40">
        <f t="shared" si="33"/>
        <v>198478.48</v>
      </c>
      <c r="AV109" s="29"/>
      <c r="AW109" s="29"/>
      <c r="AX109" s="29"/>
      <c r="AY109" s="29"/>
      <c r="AZ109" s="29"/>
      <c r="BA109" s="44"/>
      <c r="BB109" s="44"/>
      <c r="BC109" s="44"/>
      <c r="BD109" s="44"/>
    </row>
    <row r="110" spans="2:56" ht="18" x14ac:dyDescent="0.25">
      <c r="B110" s="32">
        <v>106</v>
      </c>
      <c r="C110" s="33">
        <v>10</v>
      </c>
      <c r="D110" s="33">
        <v>1</v>
      </c>
      <c r="E110" s="32">
        <v>20</v>
      </c>
      <c r="F110" s="32">
        <v>106</v>
      </c>
      <c r="G110" s="32">
        <v>270</v>
      </c>
      <c r="H110" s="32"/>
      <c r="I110" s="34" t="s">
        <v>290</v>
      </c>
      <c r="J110" s="34"/>
      <c r="K110" s="36"/>
      <c r="L110" s="33"/>
      <c r="M110" s="33">
        <v>4</v>
      </c>
      <c r="N110" s="33">
        <v>30</v>
      </c>
      <c r="O110" s="33" t="s">
        <v>57</v>
      </c>
      <c r="P110" s="38" t="s">
        <v>68</v>
      </c>
      <c r="Q110" s="39" t="s">
        <v>59</v>
      </c>
      <c r="R110" s="39" t="s">
        <v>60</v>
      </c>
      <c r="S110" s="40">
        <v>7491</v>
      </c>
      <c r="T110" s="40">
        <v>0</v>
      </c>
      <c r="U110" s="40">
        <f t="shared" si="19"/>
        <v>7491</v>
      </c>
      <c r="V110" s="40">
        <v>682</v>
      </c>
      <c r="W110" s="40">
        <v>412</v>
      </c>
      <c r="X110" s="40">
        <v>0</v>
      </c>
      <c r="Y110" s="40">
        <v>0</v>
      </c>
      <c r="Z110" s="40">
        <f t="shared" si="31"/>
        <v>1123.6499999999999</v>
      </c>
      <c r="AA110" s="40">
        <f t="shared" si="20"/>
        <v>224.73</v>
      </c>
      <c r="AB110" s="41">
        <v>541.28</v>
      </c>
      <c r="AC110" s="40">
        <f t="shared" si="21"/>
        <v>149.82</v>
      </c>
      <c r="AD110" s="40">
        <f t="shared" si="18"/>
        <v>3745.5</v>
      </c>
      <c r="AE110" s="42">
        <v>375</v>
      </c>
      <c r="AF110" s="42">
        <v>70.099999999999994</v>
      </c>
      <c r="AG110" s="40">
        <f t="shared" si="32"/>
        <v>66.765000000000001</v>
      </c>
      <c r="AH110" s="40">
        <f t="shared" si="22"/>
        <v>13.353</v>
      </c>
      <c r="AI110" s="40">
        <f t="shared" si="23"/>
        <v>44.945999999999998</v>
      </c>
      <c r="AJ110" s="40">
        <f t="shared" si="24"/>
        <v>8.902000000000001</v>
      </c>
      <c r="AK110" s="42">
        <f t="shared" si="17"/>
        <v>21.651199999999999</v>
      </c>
      <c r="AL110" s="42">
        <f t="shared" si="17"/>
        <v>5.9927999999999999</v>
      </c>
      <c r="AM110" s="42">
        <v>0</v>
      </c>
      <c r="AN110" s="42">
        <f t="shared" si="25"/>
        <v>62.5</v>
      </c>
      <c r="AO110" s="42">
        <f>AE110/30*15</f>
        <v>187.5</v>
      </c>
      <c r="AP110" s="42">
        <f t="shared" si="27"/>
        <v>625</v>
      </c>
      <c r="AQ110" s="42">
        <f t="shared" si="28"/>
        <v>8155.52</v>
      </c>
      <c r="AR110" s="40">
        <f t="shared" si="29"/>
        <v>1248.5</v>
      </c>
      <c r="AS110" s="40">
        <f t="shared" si="30"/>
        <v>12485</v>
      </c>
      <c r="AT110" s="40">
        <v>7200</v>
      </c>
      <c r="AU110" s="40">
        <f t="shared" si="33"/>
        <v>160328.28</v>
      </c>
      <c r="AV110" s="45"/>
      <c r="AW110" s="29"/>
      <c r="AX110" s="29"/>
      <c r="AY110" s="29"/>
      <c r="AZ110" s="29"/>
      <c r="BA110" s="30"/>
      <c r="BB110" s="30"/>
      <c r="BC110" s="30"/>
      <c r="BD110" s="30"/>
    </row>
    <row r="111" spans="2:56" s="10" customFormat="1" ht="18" x14ac:dyDescent="0.25">
      <c r="B111" s="32">
        <v>107</v>
      </c>
      <c r="C111" s="33">
        <v>10</v>
      </c>
      <c r="D111" s="33">
        <v>1</v>
      </c>
      <c r="E111" s="32">
        <v>20</v>
      </c>
      <c r="F111" s="32">
        <v>107</v>
      </c>
      <c r="G111" s="32">
        <v>270</v>
      </c>
      <c r="H111" s="32"/>
      <c r="I111" s="34" t="s">
        <v>290</v>
      </c>
      <c r="J111" s="34"/>
      <c r="K111" s="36"/>
      <c r="L111" s="33"/>
      <c r="M111" s="33">
        <v>8</v>
      </c>
      <c r="N111" s="33">
        <v>30</v>
      </c>
      <c r="O111" s="33" t="s">
        <v>57</v>
      </c>
      <c r="P111" s="38" t="s">
        <v>262</v>
      </c>
      <c r="Q111" s="39" t="s">
        <v>291</v>
      </c>
      <c r="R111" s="39" t="s">
        <v>60</v>
      </c>
      <c r="S111" s="40">
        <v>8281</v>
      </c>
      <c r="T111" s="40">
        <v>0</v>
      </c>
      <c r="U111" s="40">
        <f t="shared" si="19"/>
        <v>8281</v>
      </c>
      <c r="V111" s="40">
        <v>787</v>
      </c>
      <c r="W111" s="40">
        <v>535</v>
      </c>
      <c r="X111" s="40">
        <v>0</v>
      </c>
      <c r="Y111" s="40">
        <v>0</v>
      </c>
      <c r="Z111" s="40">
        <f t="shared" si="31"/>
        <v>1242.1499999999999</v>
      </c>
      <c r="AA111" s="40">
        <f t="shared" si="20"/>
        <v>248.42999999999998</v>
      </c>
      <c r="AB111" s="41">
        <v>558.67999999999995</v>
      </c>
      <c r="AC111" s="40">
        <f t="shared" si="21"/>
        <v>165.62</v>
      </c>
      <c r="AD111" s="40">
        <f t="shared" si="18"/>
        <v>4140.5</v>
      </c>
      <c r="AE111" s="42">
        <v>450</v>
      </c>
      <c r="AF111" s="42">
        <v>70</v>
      </c>
      <c r="AG111" s="40">
        <f t="shared" si="32"/>
        <v>78</v>
      </c>
      <c r="AH111" s="40">
        <f t="shared" si="22"/>
        <v>15.6</v>
      </c>
      <c r="AI111" s="40">
        <f t="shared" si="23"/>
        <v>49.685999999999993</v>
      </c>
      <c r="AJ111" s="40">
        <f t="shared" si="24"/>
        <v>10.4</v>
      </c>
      <c r="AK111" s="42">
        <f t="shared" si="17"/>
        <v>22.347199999999997</v>
      </c>
      <c r="AL111" s="42">
        <f t="shared" si="17"/>
        <v>6.6248000000000005</v>
      </c>
      <c r="AM111" s="42">
        <v>0</v>
      </c>
      <c r="AN111" s="42">
        <f t="shared" si="25"/>
        <v>75</v>
      </c>
      <c r="AO111" s="42">
        <f t="shared" si="26"/>
        <v>225</v>
      </c>
      <c r="AP111" s="42">
        <f t="shared" si="27"/>
        <v>750</v>
      </c>
      <c r="AQ111" s="42">
        <f t="shared" si="28"/>
        <v>9481.8960000000006</v>
      </c>
      <c r="AR111" s="40">
        <f t="shared" si="29"/>
        <v>1380.1666666666667</v>
      </c>
      <c r="AS111" s="40">
        <f t="shared" si="30"/>
        <v>13801.666666666668</v>
      </c>
      <c r="AT111" s="40">
        <v>7200</v>
      </c>
      <c r="AU111" s="40">
        <f t="shared" si="33"/>
        <v>177818.78933333332</v>
      </c>
      <c r="AV111" s="45"/>
      <c r="AW111" s="29"/>
      <c r="AX111" s="29"/>
      <c r="AY111" s="29"/>
      <c r="AZ111" s="29"/>
      <c r="BA111" s="30"/>
      <c r="BB111" s="30"/>
      <c r="BC111" s="30"/>
      <c r="BD111" s="30"/>
    </row>
    <row r="112" spans="2:56" ht="18" x14ac:dyDescent="0.25">
      <c r="B112" s="68"/>
      <c r="C112" s="68"/>
      <c r="D112" s="68"/>
      <c r="E112" s="68"/>
      <c r="F112" s="68"/>
      <c r="G112" s="68"/>
      <c r="H112" s="32"/>
      <c r="I112" s="69"/>
      <c r="J112" s="70"/>
      <c r="K112" s="71"/>
      <c r="L112" s="71"/>
      <c r="M112" s="71"/>
      <c r="N112" s="71"/>
      <c r="O112" s="71"/>
      <c r="P112" s="70"/>
      <c r="Q112" s="33"/>
      <c r="R112" s="33"/>
      <c r="S112" s="72">
        <f t="shared" ref="S112:AU112" si="34">SUM(S5:S111)</f>
        <v>1019357.8000000002</v>
      </c>
      <c r="T112" s="72">
        <f t="shared" si="34"/>
        <v>0</v>
      </c>
      <c r="U112" s="72">
        <f t="shared" si="34"/>
        <v>1019357.8000000002</v>
      </c>
      <c r="V112" s="73">
        <f t="shared" si="34"/>
        <v>86799</v>
      </c>
      <c r="W112" s="73">
        <f t="shared" si="34"/>
        <v>55240</v>
      </c>
      <c r="X112" s="73">
        <f t="shared" si="34"/>
        <v>30673.650000000012</v>
      </c>
      <c r="Y112" s="72">
        <f t="shared" si="34"/>
        <v>54015.51999999999</v>
      </c>
      <c r="Z112" s="72">
        <f t="shared" si="34"/>
        <v>157504.71749999997</v>
      </c>
      <c r="AA112" s="72">
        <f t="shared" si="34"/>
        <v>31500.943500000001</v>
      </c>
      <c r="AB112" s="73">
        <f t="shared" si="34"/>
        <v>64430.610000000059</v>
      </c>
      <c r="AC112" s="72">
        <f t="shared" si="34"/>
        <v>21000.629000000004</v>
      </c>
      <c r="AD112" s="72">
        <f t="shared" si="34"/>
        <v>483388.90000000008</v>
      </c>
      <c r="AE112" s="72">
        <f t="shared" si="34"/>
        <v>37221</v>
      </c>
      <c r="AF112" s="72">
        <f t="shared" si="34"/>
        <v>3504.8999999999974</v>
      </c>
      <c r="AG112" s="73">
        <f t="shared" si="34"/>
        <v>6108.8850000000048</v>
      </c>
      <c r="AH112" s="72">
        <f t="shared" si="34"/>
        <v>1221.7769999999996</v>
      </c>
      <c r="AI112" s="72">
        <f t="shared" si="34"/>
        <v>6300.1886999999979</v>
      </c>
      <c r="AJ112" s="73">
        <f t="shared" si="34"/>
        <v>814.5180000000006</v>
      </c>
      <c r="AK112" s="72">
        <f t="shared" si="34"/>
        <v>2577.2243999999992</v>
      </c>
      <c r="AL112" s="72">
        <f t="shared" si="34"/>
        <v>840.0251599999998</v>
      </c>
      <c r="AM112" s="72">
        <f t="shared" si="34"/>
        <v>7635.4319999999998</v>
      </c>
      <c r="AN112" s="72">
        <f t="shared" si="34"/>
        <v>6203.5000000000018</v>
      </c>
      <c r="AO112" s="72">
        <f t="shared" si="34"/>
        <v>18610.5</v>
      </c>
      <c r="AP112" s="72">
        <f t="shared" si="34"/>
        <v>62034.999999999985</v>
      </c>
      <c r="AQ112" s="72">
        <f t="shared" si="34"/>
        <v>797546.6511199997</v>
      </c>
      <c r="AR112" s="72">
        <f t="shared" si="34"/>
        <v>169892.96666666665</v>
      </c>
      <c r="AS112" s="72">
        <f t="shared" si="34"/>
        <v>1698929.6666666667</v>
      </c>
      <c r="AT112" s="72">
        <f t="shared" si="34"/>
        <v>727200</v>
      </c>
      <c r="AU112" s="73">
        <f t="shared" si="34"/>
        <v>21529061.904453337</v>
      </c>
      <c r="AV112" s="29"/>
      <c r="AW112" s="29"/>
      <c r="AX112" s="29"/>
      <c r="AY112" s="29"/>
      <c r="AZ112" s="29"/>
      <c r="BA112" s="44"/>
      <c r="BB112" s="44"/>
      <c r="BC112" s="44"/>
      <c r="BD112" s="44"/>
    </row>
    <row r="113" spans="2:56" ht="18" x14ac:dyDescent="0.25">
      <c r="B113" s="71"/>
      <c r="C113" s="71"/>
      <c r="D113" s="71"/>
      <c r="E113" s="71"/>
      <c r="F113" s="71"/>
      <c r="G113" s="74"/>
      <c r="H113" s="74"/>
      <c r="I113" s="75"/>
      <c r="J113" s="70"/>
      <c r="K113" s="71"/>
      <c r="L113" s="71"/>
      <c r="M113" s="71"/>
      <c r="N113" s="71"/>
      <c r="O113" s="71"/>
      <c r="P113" s="70"/>
      <c r="Q113" s="71"/>
      <c r="R113" s="71"/>
      <c r="S113" s="76">
        <f>SUM(S5:S111)*12</f>
        <v>12232293.600000001</v>
      </c>
      <c r="T113" s="76">
        <f>SUM(T5:T111)*12</f>
        <v>0</v>
      </c>
      <c r="U113" s="76">
        <f>SUM(U5:U111)*12</f>
        <v>12232293.600000001</v>
      </c>
      <c r="V113" s="76">
        <f>SUM(V112*12)</f>
        <v>1041588</v>
      </c>
      <c r="W113" s="76">
        <f>SUM(W112*12)</f>
        <v>662880</v>
      </c>
      <c r="X113" s="76">
        <f>X112*12</f>
        <v>368083.80000000016</v>
      </c>
      <c r="Y113" s="72">
        <f>SUM(Y6:Y111)</f>
        <v>54015.51999999999</v>
      </c>
      <c r="Z113" s="77">
        <f>SUM(Z112*12)</f>
        <v>1890056.6099999996</v>
      </c>
      <c r="AA113" s="77">
        <f>SUM(AA112*12)</f>
        <v>378011.32200000004</v>
      </c>
      <c r="AB113" s="76">
        <f>SUM(AB112*12)</f>
        <v>773167.32000000076</v>
      </c>
      <c r="AC113" s="77">
        <f>SUM(AC112*12)</f>
        <v>252007.54800000007</v>
      </c>
      <c r="AD113" s="77">
        <f>SUM(AD5:AD111)</f>
        <v>483388.90000000008</v>
      </c>
      <c r="AE113" s="77">
        <f t="shared" ref="AE113:AL113" si="35">SUM(AE5:AE111)*12</f>
        <v>446652</v>
      </c>
      <c r="AF113" s="77">
        <f t="shared" si="35"/>
        <v>42058.799999999967</v>
      </c>
      <c r="AG113" s="76">
        <f t="shared" si="35"/>
        <v>73306.620000000054</v>
      </c>
      <c r="AH113" s="77">
        <f t="shared" si="35"/>
        <v>14661.323999999995</v>
      </c>
      <c r="AI113" s="77">
        <f t="shared" si="35"/>
        <v>75602.264399999971</v>
      </c>
      <c r="AJ113" s="76">
        <f t="shared" si="35"/>
        <v>9774.2160000000076</v>
      </c>
      <c r="AK113" s="77">
        <f t="shared" si="35"/>
        <v>30926.69279999999</v>
      </c>
      <c r="AL113" s="77">
        <f t="shared" si="35"/>
        <v>10080.301919999998</v>
      </c>
      <c r="AM113" s="77">
        <f>SUM(AM5:AM111)</f>
        <v>7635.4319999999998</v>
      </c>
      <c r="AN113" s="77">
        <f>SUM(AN5:AN111)</f>
        <v>6203.5000000000018</v>
      </c>
      <c r="AO113" s="77">
        <f>SUM(AO5:AO111)</f>
        <v>18610.5</v>
      </c>
      <c r="AP113" s="77">
        <f>SUM(AP5:AP111)</f>
        <v>62034.999999999985</v>
      </c>
      <c r="AQ113" s="76">
        <f>SUM(AE113:AP113)</f>
        <v>797546.65112000005</v>
      </c>
      <c r="AR113" s="77">
        <f>SUM(AR5:AR111)</f>
        <v>169892.96666666665</v>
      </c>
      <c r="AS113" s="77">
        <f>SUM(AS5:AS111)</f>
        <v>1698929.6666666667</v>
      </c>
      <c r="AT113" s="76">
        <v>727200</v>
      </c>
      <c r="AU113" s="78">
        <f>SUM(U113:AT113)-AQ113</f>
        <v>21529061.904453337</v>
      </c>
      <c r="AV113" s="28"/>
      <c r="AW113" s="29"/>
      <c r="AX113" s="29"/>
      <c r="AY113" s="29"/>
      <c r="AZ113" s="29"/>
      <c r="BA113" s="30"/>
      <c r="BB113" s="30"/>
      <c r="BC113" s="30"/>
      <c r="BD113" s="30"/>
    </row>
    <row r="114" spans="2:56" ht="18" hidden="1" x14ac:dyDescent="0.25">
      <c r="B114" s="79"/>
      <c r="C114" s="80"/>
      <c r="D114" s="80"/>
      <c r="E114" s="79"/>
      <c r="F114" s="79"/>
      <c r="G114" s="79"/>
      <c r="H114" s="79"/>
      <c r="I114" s="79"/>
      <c r="J114" s="81"/>
      <c r="K114" s="82"/>
      <c r="L114" s="82"/>
      <c r="M114" s="82"/>
      <c r="N114" s="82"/>
      <c r="O114" s="82"/>
      <c r="P114" s="83"/>
      <c r="Q114" s="84"/>
      <c r="R114" s="84"/>
      <c r="S114" s="85"/>
      <c r="T114" s="85"/>
      <c r="U114" s="86"/>
      <c r="V114" s="86"/>
      <c r="W114" s="87"/>
      <c r="X114" s="87"/>
      <c r="Y114" s="85"/>
      <c r="Z114" s="85"/>
      <c r="AA114" s="85"/>
      <c r="AB114" s="86"/>
      <c r="AC114" s="88">
        <f>U113+V113+W113+X113+Y113+Z113+AA113+AB113+AC113</f>
        <v>17652103.720000003</v>
      </c>
      <c r="AD114" s="89"/>
      <c r="AE114" s="85"/>
      <c r="AF114" s="85"/>
      <c r="AG114" s="86"/>
      <c r="AH114" s="85"/>
      <c r="AI114" s="85"/>
      <c r="AJ114" s="86"/>
      <c r="AK114" s="85"/>
      <c r="AL114" s="85"/>
      <c r="AM114" s="85"/>
      <c r="AN114" s="85"/>
      <c r="AO114" s="85"/>
      <c r="AP114" s="85"/>
      <c r="AQ114" s="86"/>
      <c r="AR114" s="85"/>
      <c r="AS114" s="89"/>
      <c r="AT114" s="86">
        <f>AD113+AR113+AS113+AT113+AQ113</f>
        <v>3876958.1844533333</v>
      </c>
      <c r="AU114" s="90">
        <f>AC114+AT114</f>
        <v>21529061.904453337</v>
      </c>
      <c r="AV114" s="28"/>
      <c r="AW114" s="29"/>
      <c r="AX114" s="29"/>
      <c r="AY114" s="29"/>
      <c r="AZ114" s="29"/>
      <c r="BA114" s="30"/>
      <c r="BB114" s="30"/>
      <c r="BC114" s="30"/>
      <c r="BD114" s="44"/>
    </row>
    <row r="115" spans="2:56" ht="18" hidden="1" x14ac:dyDescent="0.25">
      <c r="B115" s="91">
        <v>107</v>
      </c>
      <c r="C115" s="92"/>
      <c r="D115" s="93" t="s">
        <v>292</v>
      </c>
      <c r="E115" s="92"/>
      <c r="F115" s="92"/>
      <c r="G115" s="94"/>
      <c r="H115" s="94"/>
      <c r="I115" s="94"/>
      <c r="J115" s="81"/>
      <c r="K115" s="82"/>
      <c r="L115" s="82"/>
      <c r="M115" s="82"/>
      <c r="N115" s="82"/>
      <c r="O115" s="82"/>
      <c r="P115" s="83"/>
      <c r="Q115" s="84"/>
      <c r="R115" s="84"/>
      <c r="S115" s="95"/>
      <c r="T115" s="95"/>
      <c r="U115" s="96"/>
      <c r="V115" s="96"/>
      <c r="W115" s="96"/>
      <c r="X115" s="96"/>
      <c r="Y115" s="95"/>
      <c r="Z115" s="95"/>
      <c r="AA115" s="95"/>
      <c r="AB115" s="96"/>
      <c r="AC115" s="95"/>
      <c r="AD115" s="97"/>
      <c r="AE115" s="95"/>
      <c r="AF115" s="95"/>
      <c r="AG115" s="96"/>
      <c r="AH115" s="95"/>
      <c r="AI115" s="95"/>
      <c r="AJ115" s="96"/>
      <c r="AK115" s="95"/>
      <c r="AL115" s="95"/>
      <c r="AM115" s="95"/>
      <c r="AN115" s="95"/>
      <c r="AO115" s="95"/>
      <c r="AP115" s="95"/>
      <c r="AQ115" s="98"/>
      <c r="AR115" s="95"/>
      <c r="AS115" s="97"/>
      <c r="AT115" s="98"/>
      <c r="AU115" s="99">
        <f>SUM(AU5:AU111)</f>
        <v>21529061.904453337</v>
      </c>
      <c r="AV115" s="45"/>
      <c r="AW115" s="29"/>
      <c r="AX115" s="29"/>
      <c r="AY115" s="29"/>
      <c r="AZ115" s="29"/>
      <c r="BA115" s="30"/>
      <c r="BB115" s="30"/>
      <c r="BC115" s="30"/>
      <c r="BD115" s="44"/>
    </row>
    <row r="116" spans="2:56" ht="18" hidden="1" x14ac:dyDescent="0.25">
      <c r="B116" s="100"/>
      <c r="C116" s="92"/>
      <c r="D116" s="93"/>
      <c r="E116" s="92"/>
      <c r="F116" s="92"/>
      <c r="G116" s="94"/>
      <c r="H116" s="94"/>
      <c r="I116" s="94"/>
      <c r="J116" s="81"/>
      <c r="K116" s="82"/>
      <c r="L116" s="82"/>
      <c r="M116" s="82"/>
      <c r="N116" s="82"/>
      <c r="O116" s="82"/>
      <c r="P116" s="83"/>
      <c r="Q116" s="84"/>
      <c r="R116" s="84"/>
      <c r="S116" s="95"/>
      <c r="T116" s="95"/>
      <c r="U116" s="96"/>
      <c r="V116" s="40"/>
      <c r="W116" s="96"/>
      <c r="X116" s="96"/>
      <c r="Y116" s="95"/>
      <c r="Z116" s="95"/>
      <c r="AA116" s="95"/>
      <c r="AB116" s="96"/>
      <c r="AC116" s="95"/>
      <c r="AD116" s="97"/>
      <c r="AE116" s="95"/>
      <c r="AF116" s="95"/>
      <c r="AG116" s="96"/>
      <c r="AH116" s="95"/>
      <c r="AI116" s="95"/>
      <c r="AJ116" s="96"/>
      <c r="AK116" s="95"/>
      <c r="AL116" s="95"/>
      <c r="AM116" s="95"/>
      <c r="AN116" s="95"/>
      <c r="AO116" s="95"/>
      <c r="AP116" s="95"/>
      <c r="AQ116" s="98"/>
      <c r="AR116" s="95"/>
      <c r="AS116" s="97"/>
      <c r="AT116" s="98"/>
      <c r="AU116" s="99"/>
      <c r="AV116" s="45"/>
      <c r="AW116" s="29"/>
      <c r="AX116" s="29"/>
      <c r="AY116" s="29"/>
      <c r="AZ116" s="29"/>
      <c r="BA116" s="30"/>
      <c r="BB116" s="30"/>
      <c r="BC116" s="30"/>
      <c r="BD116" s="44"/>
    </row>
    <row r="117" spans="2:56" s="109" customFormat="1" ht="18" hidden="1" x14ac:dyDescent="0.25">
      <c r="B117" s="101"/>
      <c r="C117" s="101"/>
      <c r="D117" s="101"/>
      <c r="E117" s="101"/>
      <c r="F117" s="101"/>
      <c r="G117" s="102"/>
      <c r="H117" s="102"/>
      <c r="I117" s="102"/>
      <c r="J117" s="102"/>
      <c r="K117" s="101"/>
      <c r="L117" s="101"/>
      <c r="M117" s="101"/>
      <c r="N117" s="101"/>
      <c r="O117" s="101"/>
      <c r="P117" s="102"/>
      <c r="Q117" s="101"/>
      <c r="R117" s="101"/>
      <c r="S117" s="103"/>
      <c r="T117" s="101"/>
      <c r="U117" s="104">
        <f>AE113</f>
        <v>446652</v>
      </c>
      <c r="V117" s="105">
        <f>AK113</f>
        <v>30926.69279999999</v>
      </c>
      <c r="W117" s="105">
        <f>AL113</f>
        <v>10080.301919999998</v>
      </c>
      <c r="X117" s="106">
        <f>AF113</f>
        <v>42058.799999999967</v>
      </c>
      <c r="Y117" s="106">
        <f>AM113</f>
        <v>7635.4319999999998</v>
      </c>
      <c r="Z117" s="105">
        <f>AG113</f>
        <v>73306.620000000054</v>
      </c>
      <c r="AA117" s="102">
        <f>AH113</f>
        <v>14661.323999999995</v>
      </c>
      <c r="AB117" s="105">
        <f>AI113</f>
        <v>75602.264399999971</v>
      </c>
      <c r="AC117" s="105">
        <f>AJ113</f>
        <v>9774.2160000000076</v>
      </c>
      <c r="AD117" s="102">
        <f>AO113</f>
        <v>18610.5</v>
      </c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6">
        <f>AN113</f>
        <v>6203.5000000000018</v>
      </c>
      <c r="AS117" s="106">
        <f>AP113</f>
        <v>62034.999999999985</v>
      </c>
      <c r="AT117" s="105"/>
      <c r="AU117" s="102"/>
      <c r="AV117" s="107"/>
      <c r="AW117" s="107"/>
      <c r="AX117" s="107"/>
      <c r="AY117" s="107"/>
      <c r="AZ117" s="107"/>
      <c r="BA117" s="108"/>
      <c r="BB117" s="108"/>
      <c r="BC117" s="108"/>
      <c r="BD117" s="108"/>
    </row>
    <row r="118" spans="2:56" hidden="1" x14ac:dyDescent="0.25">
      <c r="U118" s="110">
        <f>SUM(U117+U113)</f>
        <v>12678945.600000001</v>
      </c>
      <c r="V118" s="110">
        <f t="shared" ref="V118:AU118" si="36">SUM(V117+V113)</f>
        <v>1072514.6928000001</v>
      </c>
      <c r="W118" s="110">
        <f t="shared" si="36"/>
        <v>672960.30192</v>
      </c>
      <c r="X118" s="110">
        <f t="shared" si="36"/>
        <v>410142.60000000015</v>
      </c>
      <c r="Y118" s="110">
        <f t="shared" si="36"/>
        <v>61650.95199999999</v>
      </c>
      <c r="Z118" s="110">
        <f t="shared" si="36"/>
        <v>1963363.2299999997</v>
      </c>
      <c r="AA118" s="110">
        <f t="shared" si="36"/>
        <v>392672.64600000007</v>
      </c>
      <c r="AB118" s="110">
        <f t="shared" si="36"/>
        <v>848769.58440000075</v>
      </c>
      <c r="AC118" s="110">
        <f t="shared" si="36"/>
        <v>261781.76400000008</v>
      </c>
      <c r="AD118" s="110">
        <f t="shared" si="36"/>
        <v>501999.40000000008</v>
      </c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>
        <f t="shared" si="36"/>
        <v>176096.46666666665</v>
      </c>
      <c r="AS118" s="110">
        <f t="shared" si="36"/>
        <v>1760964.6666666667</v>
      </c>
      <c r="AT118" s="110">
        <f t="shared" si="36"/>
        <v>727200</v>
      </c>
      <c r="AU118" s="110">
        <f t="shared" si="36"/>
        <v>21529061.904453337</v>
      </c>
    </row>
    <row r="119" spans="2:56" hidden="1" x14ac:dyDescent="0.25"/>
    <row r="123" spans="2:56" x14ac:dyDescent="0.25">
      <c r="B123" s="111"/>
      <c r="C123" s="111"/>
      <c r="D123" s="111"/>
      <c r="E123" s="111"/>
      <c r="F123" s="111"/>
      <c r="G123" s="111"/>
      <c r="H123" s="111"/>
      <c r="I123" s="111"/>
      <c r="J123" s="112"/>
      <c r="K123" s="111"/>
      <c r="L123" s="112"/>
      <c r="M123" s="111"/>
      <c r="N123" s="111"/>
      <c r="O123" s="111"/>
    </row>
    <row r="124" spans="2:56" x14ac:dyDescent="0.25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2"/>
      <c r="M124" s="111"/>
      <c r="N124" s="111"/>
      <c r="O124" s="111"/>
    </row>
    <row r="125" spans="2:56" x14ac:dyDescent="0.25">
      <c r="B125" s="111"/>
      <c r="C125" s="113"/>
      <c r="D125" s="114" t="s">
        <v>293</v>
      </c>
      <c r="E125" s="111"/>
      <c r="F125" s="111"/>
      <c r="G125" s="111"/>
      <c r="H125" s="111"/>
      <c r="I125" s="111"/>
      <c r="J125" s="115" t="s">
        <v>294</v>
      </c>
      <c r="K125" s="111"/>
      <c r="O125" s="111"/>
      <c r="P125" s="116" t="s">
        <v>295</v>
      </c>
      <c r="Q125" s="111"/>
      <c r="R125" s="111"/>
    </row>
    <row r="126" spans="2:56" x14ac:dyDescent="0.25">
      <c r="B126" s="111"/>
      <c r="C126" s="113"/>
      <c r="D126" s="116" t="s">
        <v>296</v>
      </c>
      <c r="E126" s="111"/>
      <c r="F126" s="111"/>
      <c r="G126" s="111"/>
      <c r="H126" s="111"/>
      <c r="I126" s="111"/>
      <c r="J126" s="117" t="s">
        <v>297</v>
      </c>
      <c r="K126" s="111"/>
      <c r="O126" s="111"/>
      <c r="P126" s="118" t="s">
        <v>298</v>
      </c>
      <c r="Q126" s="111"/>
      <c r="R126" s="111"/>
    </row>
    <row r="127" spans="2:56" x14ac:dyDescent="0.25">
      <c r="B127" s="111"/>
      <c r="C127" s="113"/>
      <c r="D127" s="119"/>
      <c r="E127" s="111"/>
      <c r="F127" s="111"/>
      <c r="G127" s="111"/>
      <c r="H127" s="111"/>
      <c r="I127" s="111"/>
      <c r="J127" s="117"/>
      <c r="K127" s="111"/>
      <c r="O127" s="111"/>
      <c r="P127" s="120"/>
      <c r="Q127" s="111"/>
      <c r="R127" s="111"/>
    </row>
    <row r="128" spans="2:56" x14ac:dyDescent="0.25">
      <c r="B128" s="111"/>
      <c r="C128" s="113"/>
      <c r="D128" s="119"/>
      <c r="E128" s="111"/>
      <c r="F128" s="111"/>
      <c r="G128" s="111"/>
      <c r="H128" s="111"/>
      <c r="I128" s="111"/>
      <c r="J128" s="117"/>
      <c r="K128" s="111"/>
      <c r="O128" s="111"/>
      <c r="P128" s="120"/>
      <c r="Q128" s="111"/>
      <c r="R128" s="111"/>
    </row>
    <row r="129" spans="2:21" x14ac:dyDescent="0.25">
      <c r="B129" s="111"/>
      <c r="C129" s="113"/>
      <c r="D129" s="116"/>
      <c r="E129" s="111"/>
      <c r="F129" s="111"/>
      <c r="G129" s="111"/>
      <c r="H129" s="111"/>
      <c r="I129" s="111"/>
      <c r="J129" s="119"/>
      <c r="K129" s="111"/>
      <c r="O129" s="111"/>
      <c r="P129" s="120"/>
      <c r="Q129" s="111"/>
      <c r="R129" s="111"/>
    </row>
    <row r="130" spans="2:21" x14ac:dyDescent="0.25">
      <c r="B130" s="111"/>
      <c r="C130" s="113"/>
      <c r="D130" s="119"/>
      <c r="E130" s="111"/>
      <c r="F130" s="111"/>
      <c r="G130" s="111"/>
      <c r="H130" s="111"/>
      <c r="I130" s="111"/>
      <c r="J130" s="119"/>
      <c r="K130" s="111"/>
      <c r="O130" s="111"/>
      <c r="P130" s="120"/>
      <c r="Q130" s="111"/>
      <c r="R130" s="111"/>
    </row>
    <row r="131" spans="2:21" x14ac:dyDescent="0.25">
      <c r="B131" s="111"/>
      <c r="C131" s="113"/>
      <c r="D131" s="119"/>
      <c r="E131" s="111"/>
      <c r="F131" s="111"/>
      <c r="G131" s="111"/>
      <c r="H131" s="111"/>
      <c r="I131" s="111"/>
      <c r="J131" s="120"/>
      <c r="K131" s="111"/>
      <c r="O131" s="111"/>
      <c r="P131" s="120"/>
      <c r="Q131" s="111"/>
      <c r="R131" s="111"/>
    </row>
    <row r="132" spans="2:21" x14ac:dyDescent="0.25">
      <c r="B132" s="111"/>
      <c r="C132" s="113"/>
      <c r="D132" s="116" t="s">
        <v>295</v>
      </c>
      <c r="E132" s="111"/>
      <c r="F132" s="111"/>
      <c r="G132" s="111"/>
      <c r="H132" s="111"/>
      <c r="I132" s="111"/>
      <c r="J132" s="116" t="s">
        <v>295</v>
      </c>
      <c r="K132" s="111"/>
      <c r="O132" s="111"/>
      <c r="P132" s="121" t="s">
        <v>299</v>
      </c>
      <c r="Q132" s="111"/>
      <c r="R132" s="111"/>
    </row>
    <row r="133" spans="2:21" x14ac:dyDescent="0.25">
      <c r="B133" s="111"/>
      <c r="C133" s="113"/>
      <c r="D133" s="118" t="s">
        <v>300</v>
      </c>
      <c r="E133" s="111"/>
      <c r="F133" s="111"/>
      <c r="G133" s="111"/>
      <c r="H133" s="111"/>
      <c r="I133" s="111"/>
      <c r="J133" s="122" t="s">
        <v>301</v>
      </c>
      <c r="K133" s="111"/>
      <c r="O133" s="111"/>
      <c r="P133" s="123" t="s">
        <v>302</v>
      </c>
      <c r="Q133" s="111"/>
      <c r="R133" s="111"/>
    </row>
    <row r="134" spans="2:21" x14ac:dyDescent="0.25">
      <c r="B134" s="111"/>
      <c r="C134" s="113"/>
      <c r="D134" s="119"/>
      <c r="E134" s="111"/>
      <c r="F134" s="111"/>
      <c r="G134" s="111"/>
      <c r="H134" s="111"/>
      <c r="I134" s="111"/>
      <c r="J134" s="119"/>
      <c r="K134" s="111"/>
      <c r="O134" s="111"/>
      <c r="P134" s="124"/>
      <c r="Q134" s="111"/>
      <c r="R134" s="111"/>
    </row>
    <row r="135" spans="2:21" x14ac:dyDescent="0.25">
      <c r="B135" s="111"/>
      <c r="C135" s="113"/>
      <c r="D135" s="119"/>
      <c r="E135" s="111"/>
      <c r="F135" s="111"/>
      <c r="G135" s="111"/>
      <c r="H135" s="111"/>
      <c r="I135" s="111"/>
      <c r="J135" s="119"/>
      <c r="K135" s="111"/>
      <c r="O135" s="111"/>
      <c r="P135" s="124"/>
      <c r="Q135" s="111"/>
      <c r="R135" s="111"/>
    </row>
    <row r="136" spans="2:21" x14ac:dyDescent="0.25">
      <c r="B136" s="111"/>
      <c r="C136" s="113"/>
      <c r="D136" s="119"/>
      <c r="E136" s="111"/>
      <c r="F136" s="111"/>
      <c r="G136" s="111"/>
      <c r="H136" s="111"/>
      <c r="I136" s="111"/>
      <c r="J136" s="119"/>
      <c r="K136" s="111"/>
      <c r="O136" s="111"/>
      <c r="P136" s="124"/>
      <c r="Q136" s="111"/>
      <c r="R136" s="111"/>
    </row>
    <row r="137" spans="2:21" x14ac:dyDescent="0.25">
      <c r="B137" s="111"/>
      <c r="C137" s="113"/>
      <c r="D137" s="119"/>
      <c r="E137" s="111"/>
      <c r="F137" s="111"/>
      <c r="G137" s="111"/>
      <c r="H137" s="111"/>
      <c r="I137" s="111"/>
      <c r="J137" s="119"/>
      <c r="K137" s="111"/>
      <c r="O137" s="111"/>
      <c r="P137" s="124"/>
      <c r="Q137" s="111"/>
      <c r="R137" s="111"/>
    </row>
    <row r="138" spans="2:21" x14ac:dyDescent="0.25">
      <c r="B138" s="111"/>
      <c r="C138" s="113"/>
      <c r="D138" s="119"/>
      <c r="E138" s="111"/>
      <c r="F138" s="111"/>
      <c r="G138" s="111"/>
      <c r="H138" s="111"/>
      <c r="I138" s="111"/>
      <c r="J138" s="119"/>
      <c r="K138" s="111"/>
      <c r="O138" s="111"/>
      <c r="P138" s="124"/>
      <c r="Q138" s="111"/>
      <c r="R138" s="111"/>
    </row>
    <row r="139" spans="2:21" x14ac:dyDescent="0.25">
      <c r="B139" s="111"/>
      <c r="C139" s="113"/>
      <c r="D139" s="116" t="s">
        <v>295</v>
      </c>
      <c r="E139" s="111"/>
      <c r="F139" s="111"/>
      <c r="G139" s="111"/>
      <c r="H139" s="111"/>
      <c r="I139" s="111"/>
      <c r="J139" s="116" t="s">
        <v>295</v>
      </c>
      <c r="K139" s="111"/>
      <c r="P139" s="125" t="s">
        <v>303</v>
      </c>
      <c r="T139" s="125"/>
      <c r="U139" s="125"/>
    </row>
    <row r="140" spans="2:21" x14ac:dyDescent="0.25">
      <c r="B140" s="111"/>
      <c r="C140" s="113"/>
      <c r="D140" s="118" t="s">
        <v>304</v>
      </c>
      <c r="E140" s="111"/>
      <c r="F140" s="111"/>
      <c r="G140" s="111"/>
      <c r="H140" s="111"/>
      <c r="I140" s="111"/>
      <c r="J140" s="118" t="s">
        <v>305</v>
      </c>
      <c r="K140" s="111"/>
      <c r="P140" s="125" t="s">
        <v>306</v>
      </c>
      <c r="T140" s="125"/>
      <c r="U140" s="125"/>
    </row>
    <row r="141" spans="2:21" x14ac:dyDescent="0.25">
      <c r="B141" s="111"/>
      <c r="C141" s="126"/>
      <c r="D141" s="124"/>
      <c r="E141" s="116"/>
      <c r="F141" s="119"/>
      <c r="G141" s="127"/>
      <c r="H141" s="111"/>
      <c r="I141" s="111"/>
      <c r="J141" s="116"/>
      <c r="K141" s="111"/>
      <c r="O141" s="111"/>
      <c r="P141" s="111"/>
      <c r="Q141" s="111"/>
      <c r="R141" s="112"/>
    </row>
    <row r="142" spans="2:21" x14ac:dyDescent="0.25">
      <c r="B142" s="128" t="s">
        <v>307</v>
      </c>
      <c r="C142" s="126"/>
      <c r="D142" s="111"/>
      <c r="E142" s="120"/>
      <c r="F142" s="120"/>
      <c r="G142" s="120"/>
      <c r="H142" s="111"/>
      <c r="I142" s="111"/>
      <c r="J142" s="112"/>
      <c r="K142" s="111"/>
      <c r="L142" s="112"/>
      <c r="M142" s="111"/>
      <c r="N142" s="111"/>
      <c r="O142" s="111"/>
    </row>
    <row r="143" spans="2:21" x14ac:dyDescent="0.25">
      <c r="B143" s="128" t="s">
        <v>308</v>
      </c>
      <c r="C143" s="126"/>
      <c r="D143" s="111"/>
      <c r="E143" s="120"/>
      <c r="F143" s="120"/>
      <c r="G143" s="120"/>
      <c r="H143" s="111"/>
      <c r="I143" s="111"/>
      <c r="J143" s="112"/>
      <c r="K143" s="111"/>
      <c r="L143" s="112"/>
      <c r="M143" s="111"/>
      <c r="N143" s="111"/>
      <c r="O143" s="111"/>
    </row>
  </sheetData>
  <mergeCells count="5">
    <mergeCell ref="R3:V3"/>
    <mergeCell ref="W3:AA3"/>
    <mergeCell ref="AB3:AC3"/>
    <mergeCell ref="AD3:AG3"/>
    <mergeCell ref="AR3:AU3"/>
  </mergeCells>
  <pageMargins left="0.25" right="0.25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S37"/>
  <sheetViews>
    <sheetView topLeftCell="A6" workbookViewId="0">
      <selection activeCell="A8" sqref="A8"/>
    </sheetView>
  </sheetViews>
  <sheetFormatPr baseColWidth="10" defaultColWidth="5" defaultRowHeight="18" x14ac:dyDescent="0.25"/>
  <cols>
    <col min="1" max="1" width="6.85546875" style="94" customWidth="1"/>
    <col min="2" max="2" width="36.28515625" style="94" customWidth="1"/>
    <col min="3" max="3" width="19.42578125" style="83" bestFit="1" customWidth="1"/>
    <col min="4" max="4" width="5.28515625" style="92" customWidth="1"/>
    <col min="5" max="5" width="4" style="92" customWidth="1"/>
    <col min="6" max="6" width="6.7109375" style="92" customWidth="1"/>
    <col min="7" max="7" width="24.140625" style="83" customWidth="1"/>
    <col min="8" max="8" width="28.7109375" style="92" customWidth="1"/>
    <col min="9" max="9" width="25.7109375" style="92" customWidth="1"/>
    <col min="10" max="10" width="13.7109375" style="163" customWidth="1"/>
    <col min="11" max="11" width="10" style="164" customWidth="1"/>
    <col min="12" max="12" width="14.42578125" style="177" customWidth="1"/>
    <col min="13" max="13" width="12.28515625" style="24" customWidth="1"/>
    <col min="14" max="14" width="11.28515625" style="24" customWidth="1"/>
    <col min="15" max="15" width="14.28515625" style="166" customWidth="1"/>
    <col min="16" max="16" width="12.85546875" style="167" customWidth="1"/>
    <col min="17" max="17" width="14.28515625" style="24" hidden="1" customWidth="1"/>
    <col min="18" max="18" width="11.7109375" style="83" hidden="1" customWidth="1"/>
    <col min="19" max="19" width="11.85546875" style="168" customWidth="1"/>
    <col min="20" max="20" width="12.5703125" style="24" hidden="1" customWidth="1"/>
    <col min="21" max="21" width="12" style="83" customWidth="1"/>
    <col min="22" max="22" width="11.5703125" style="24" hidden="1" customWidth="1"/>
    <col min="23" max="24" width="11" style="24" hidden="1" customWidth="1"/>
    <col min="25" max="25" width="15.7109375" style="24" hidden="1" customWidth="1"/>
    <col min="26" max="26" width="11" style="24" hidden="1" customWidth="1"/>
    <col min="27" max="27" width="12.5703125" style="24" hidden="1" customWidth="1"/>
    <col min="28" max="29" width="11" style="24" hidden="1" customWidth="1"/>
    <col min="30" max="30" width="8.42578125" style="24" hidden="1" customWidth="1"/>
    <col min="31" max="31" width="10" style="24" hidden="1" customWidth="1"/>
    <col min="32" max="32" width="11" style="24" hidden="1" customWidth="1"/>
    <col min="33" max="33" width="11.7109375" style="24" hidden="1" customWidth="1"/>
    <col min="34" max="34" width="12.5703125" style="24" hidden="1" customWidth="1"/>
    <col min="35" max="35" width="12" style="166" customWidth="1"/>
    <col min="36" max="36" width="14.140625" style="166" customWidth="1"/>
    <col min="37" max="37" width="12" style="24" customWidth="1"/>
    <col min="38" max="38" width="18" style="83" customWidth="1"/>
    <col min="39" max="43" width="5" style="29"/>
    <col min="44" max="47" width="5" style="44"/>
    <col min="48" max="16384" width="5" style="31"/>
  </cols>
  <sheetData>
    <row r="1" spans="1:941 1089:3020 3168:3965 4113:5099 5247:6044 6192:8123 8271:10202 10350:11147 11295:12281 12429:13226 13374:15305 15453:16061" s="10" customFormat="1" ht="90" hidden="1" customHeight="1" x14ac:dyDescent="0.25">
      <c r="A1" s="129"/>
      <c r="D1" s="130"/>
      <c r="E1" s="130"/>
      <c r="F1" s="130"/>
      <c r="G1" s="131"/>
      <c r="H1" s="130"/>
      <c r="I1" s="130"/>
      <c r="K1" s="132"/>
      <c r="M1" s="7"/>
      <c r="N1" s="7"/>
      <c r="P1" s="7"/>
      <c r="Q1" s="7"/>
      <c r="R1" s="7"/>
      <c r="S1" s="7"/>
      <c r="T1" s="7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7"/>
      <c r="AJ1" s="7"/>
      <c r="AK1" s="133"/>
      <c r="AM1" s="46"/>
      <c r="AN1" s="46"/>
      <c r="AO1" s="46"/>
      <c r="AP1" s="46"/>
      <c r="AQ1" s="46"/>
      <c r="AR1" s="46"/>
      <c r="AS1" s="46"/>
      <c r="AT1" s="46"/>
      <c r="AU1" s="46"/>
      <c r="EU1" s="10" t="s">
        <v>309</v>
      </c>
      <c r="EX1" s="10" t="s">
        <v>310</v>
      </c>
      <c r="MH1" s="10" t="s">
        <v>311</v>
      </c>
      <c r="MM1" s="10" t="s">
        <v>312</v>
      </c>
      <c r="MO1" s="10" t="s">
        <v>311</v>
      </c>
      <c r="MU1" s="10" t="s">
        <v>312</v>
      </c>
      <c r="TB1" s="10" t="s">
        <v>9</v>
      </c>
      <c r="TC1" s="10" t="s">
        <v>10</v>
      </c>
      <c r="TD1" s="10" t="s">
        <v>11</v>
      </c>
      <c r="TE1" s="10" t="s">
        <v>12</v>
      </c>
      <c r="TF1" s="10" t="s">
        <v>13</v>
      </c>
      <c r="TG1" s="10" t="s">
        <v>14</v>
      </c>
      <c r="TH1" s="10" t="s">
        <v>15</v>
      </c>
      <c r="TI1" s="10" t="s">
        <v>16</v>
      </c>
      <c r="TJ1" s="10" t="s">
        <v>21</v>
      </c>
      <c r="TK1" s="10" t="s">
        <v>22</v>
      </c>
      <c r="TL1" s="10" t="s">
        <v>23</v>
      </c>
      <c r="TM1" s="10" t="s">
        <v>24</v>
      </c>
      <c r="TN1" s="134" t="s">
        <v>313</v>
      </c>
      <c r="TO1" s="10" t="s">
        <v>25</v>
      </c>
      <c r="TP1" s="10" t="s">
        <v>26</v>
      </c>
      <c r="TQ1" s="10" t="s">
        <v>27</v>
      </c>
      <c r="TR1" s="10" t="s">
        <v>30</v>
      </c>
      <c r="TS1" s="134" t="s">
        <v>31</v>
      </c>
      <c r="TT1" s="134" t="s">
        <v>50</v>
      </c>
      <c r="TU1" s="134" t="s">
        <v>51</v>
      </c>
      <c r="TV1" s="134" t="s">
        <v>32</v>
      </c>
      <c r="TW1" s="134" t="s">
        <v>33</v>
      </c>
      <c r="TX1" s="134" t="s">
        <v>34</v>
      </c>
      <c r="TY1" s="10" t="s">
        <v>35</v>
      </c>
      <c r="TZ1" s="134" t="s">
        <v>28</v>
      </c>
      <c r="UA1" s="134" t="s">
        <v>29</v>
      </c>
      <c r="UB1" s="10" t="s">
        <v>36</v>
      </c>
      <c r="UC1" s="10" t="s">
        <v>37</v>
      </c>
      <c r="UD1" s="10" t="s">
        <v>38</v>
      </c>
      <c r="UE1" s="134" t="s">
        <v>39</v>
      </c>
      <c r="UF1" s="134" t="s">
        <v>40</v>
      </c>
      <c r="UG1" s="134" t="s">
        <v>41</v>
      </c>
      <c r="UH1" s="134" t="s">
        <v>42</v>
      </c>
      <c r="UI1" s="134" t="s">
        <v>43</v>
      </c>
      <c r="UJ1" s="134" t="s">
        <v>44</v>
      </c>
      <c r="UK1" s="134" t="s">
        <v>45</v>
      </c>
      <c r="UL1" s="134" t="s">
        <v>46</v>
      </c>
      <c r="UM1" s="10" t="s">
        <v>47</v>
      </c>
      <c r="UN1" s="10" t="s">
        <v>48</v>
      </c>
      <c r="UO1" s="10" t="s">
        <v>49</v>
      </c>
      <c r="UP1" s="10" t="s">
        <v>52</v>
      </c>
      <c r="UQ1" s="134" t="s">
        <v>53</v>
      </c>
      <c r="AAI1" s="10">
        <v>1</v>
      </c>
      <c r="AAJ1" s="10">
        <v>10</v>
      </c>
      <c r="AAK1" s="10">
        <v>1</v>
      </c>
      <c r="AAL1" s="10">
        <v>20</v>
      </c>
      <c r="AAM1" s="10">
        <v>1</v>
      </c>
      <c r="AAN1" s="10">
        <v>270</v>
      </c>
      <c r="AAP1" s="10" t="s">
        <v>314</v>
      </c>
      <c r="AAQ1" s="10" t="s">
        <v>57</v>
      </c>
      <c r="AAR1" s="10" t="s">
        <v>64</v>
      </c>
      <c r="AAS1" s="10" t="s">
        <v>65</v>
      </c>
      <c r="AAT1" s="10" t="s">
        <v>60</v>
      </c>
      <c r="AAU1" s="10">
        <v>1</v>
      </c>
      <c r="AAV1" s="135">
        <v>6852</v>
      </c>
      <c r="AAW1" s="10">
        <v>0</v>
      </c>
      <c r="AAX1" s="135">
        <v>6852</v>
      </c>
      <c r="AAY1" s="10">
        <v>471</v>
      </c>
      <c r="AAZ1" s="10">
        <v>0</v>
      </c>
      <c r="ABA1" s="135">
        <v>1142</v>
      </c>
      <c r="ABB1" s="135">
        <v>11421</v>
      </c>
      <c r="ABC1" s="10">
        <v>842</v>
      </c>
      <c r="ABD1" s="10">
        <v>220</v>
      </c>
      <c r="ABE1" s="10">
        <v>527.96</v>
      </c>
      <c r="ABF1" s="10">
        <v>146</v>
      </c>
      <c r="ABG1" s="10">
        <v>619</v>
      </c>
      <c r="ABH1" s="10">
        <v>379</v>
      </c>
      <c r="ABI1" s="135">
        <v>3426</v>
      </c>
      <c r="ABJ1" s="10">
        <v>274</v>
      </c>
      <c r="ABK1" s="10">
        <v>19</v>
      </c>
      <c r="ABL1" s="10">
        <v>34</v>
      </c>
      <c r="ABM1" s="10">
        <v>9</v>
      </c>
      <c r="ABN1" s="10">
        <v>21</v>
      </c>
      <c r="ABO1" s="10">
        <v>6</v>
      </c>
      <c r="ABP1" s="10">
        <v>25</v>
      </c>
      <c r="ABQ1" s="10">
        <v>15</v>
      </c>
      <c r="ABR1" s="10">
        <v>0</v>
      </c>
      <c r="ABS1" s="10">
        <v>46</v>
      </c>
      <c r="ABT1" s="10">
        <v>137</v>
      </c>
      <c r="ABU1" s="10">
        <v>457</v>
      </c>
      <c r="ABV1" s="135">
        <v>5467</v>
      </c>
      <c r="ABW1" s="135">
        <v>6000</v>
      </c>
      <c r="ABX1" s="135">
        <v>148148</v>
      </c>
      <c r="AHP1" s="10">
        <v>2</v>
      </c>
      <c r="AHQ1" s="10">
        <v>10</v>
      </c>
      <c r="AHR1" s="10">
        <v>1</v>
      </c>
      <c r="AHS1" s="10">
        <v>20</v>
      </c>
      <c r="AHT1" s="10">
        <v>2</v>
      </c>
      <c r="AHU1" s="10">
        <v>270</v>
      </c>
      <c r="AHW1" s="10" t="s">
        <v>54</v>
      </c>
      <c r="AHX1" s="10" t="s">
        <v>57</v>
      </c>
      <c r="AHY1" s="10" t="s">
        <v>58</v>
      </c>
      <c r="AHZ1" s="10" t="s">
        <v>59</v>
      </c>
      <c r="AIA1" s="10" t="s">
        <v>60</v>
      </c>
      <c r="AIB1" s="10">
        <v>1</v>
      </c>
      <c r="AIC1" s="135">
        <v>7713</v>
      </c>
      <c r="AID1" s="10">
        <v>0</v>
      </c>
      <c r="AIE1" s="135">
        <v>7713</v>
      </c>
      <c r="AIF1" s="10">
        <v>336</v>
      </c>
      <c r="AIG1" s="10">
        <v>0</v>
      </c>
      <c r="AIH1" s="135">
        <v>1286</v>
      </c>
      <c r="AII1" s="135">
        <v>12855</v>
      </c>
      <c r="AIJ1" s="10">
        <v>926</v>
      </c>
      <c r="AIK1" s="10">
        <v>241</v>
      </c>
      <c r="AIL1" s="10">
        <v>554.52</v>
      </c>
      <c r="AIM1" s="10">
        <v>161</v>
      </c>
      <c r="AIN1" s="10">
        <v>714</v>
      </c>
      <c r="AIO1" s="10">
        <v>490</v>
      </c>
      <c r="AIP1" s="135">
        <v>3857</v>
      </c>
      <c r="AIQ1" s="10">
        <v>309</v>
      </c>
      <c r="AIR1" s="10">
        <v>13</v>
      </c>
      <c r="AIS1" s="10">
        <v>37</v>
      </c>
      <c r="AIT1" s="10">
        <v>10</v>
      </c>
      <c r="AIU1" s="10">
        <v>22</v>
      </c>
      <c r="AIV1" s="10">
        <v>6</v>
      </c>
      <c r="AIW1" s="10">
        <v>29</v>
      </c>
      <c r="AIX1" s="10">
        <v>20</v>
      </c>
      <c r="AIY1" s="10">
        <v>0</v>
      </c>
      <c r="AIZ1" s="10">
        <v>51</v>
      </c>
      <c r="AJA1" s="10">
        <v>154</v>
      </c>
      <c r="AJB1" s="10">
        <v>514</v>
      </c>
      <c r="AJC1" s="135">
        <v>6065</v>
      </c>
      <c r="AJD1" s="135">
        <v>6000</v>
      </c>
      <c r="AJE1" s="135">
        <v>163696</v>
      </c>
      <c r="AOW1" s="10">
        <v>3</v>
      </c>
      <c r="AOX1" s="10">
        <v>10</v>
      </c>
      <c r="AOY1" s="10">
        <v>1</v>
      </c>
      <c r="AOZ1" s="10">
        <v>20</v>
      </c>
      <c r="APA1" s="10">
        <v>3</v>
      </c>
      <c r="APB1" s="10">
        <v>270</v>
      </c>
      <c r="APD1" s="10" t="s">
        <v>61</v>
      </c>
      <c r="APE1" s="10" t="s">
        <v>57</v>
      </c>
      <c r="APF1" s="10" t="s">
        <v>64</v>
      </c>
      <c r="APG1" s="10" t="s">
        <v>65</v>
      </c>
      <c r="APH1" s="10" t="s">
        <v>60</v>
      </c>
      <c r="API1" s="10">
        <v>1</v>
      </c>
      <c r="APJ1" s="135">
        <v>6852</v>
      </c>
      <c r="APK1" s="10">
        <v>0</v>
      </c>
      <c r="APL1" s="135">
        <v>6852</v>
      </c>
      <c r="APM1" s="10">
        <v>404</v>
      </c>
      <c r="APN1" s="10">
        <v>0</v>
      </c>
      <c r="APO1" s="135">
        <v>1142</v>
      </c>
      <c r="APP1" s="135">
        <v>11421</v>
      </c>
      <c r="APQ1" s="10">
        <v>834</v>
      </c>
      <c r="APR1" s="10">
        <v>218</v>
      </c>
      <c r="APS1" s="10">
        <v>526.38</v>
      </c>
      <c r="APT1" s="10">
        <v>145</v>
      </c>
      <c r="APU1" s="10">
        <v>619</v>
      </c>
      <c r="APV1" s="10">
        <v>379</v>
      </c>
      <c r="APW1" s="135">
        <v>3426</v>
      </c>
      <c r="APX1" s="10">
        <v>274</v>
      </c>
      <c r="APY1" s="10">
        <v>16</v>
      </c>
      <c r="APZ1" s="10">
        <v>33</v>
      </c>
      <c r="AQA1" s="10">
        <v>9</v>
      </c>
      <c r="AQB1" s="10">
        <v>21</v>
      </c>
      <c r="AQC1" s="10">
        <v>6</v>
      </c>
      <c r="AQD1" s="10">
        <v>25</v>
      </c>
      <c r="AQE1" s="10">
        <v>15</v>
      </c>
      <c r="AQF1" s="10">
        <v>0</v>
      </c>
      <c r="AQG1" s="10">
        <v>46</v>
      </c>
      <c r="AQH1" s="10">
        <v>137</v>
      </c>
      <c r="AQI1" s="10">
        <v>457</v>
      </c>
      <c r="AQJ1" s="135">
        <v>5429</v>
      </c>
      <c r="AQK1" s="135">
        <v>6000</v>
      </c>
      <c r="AQL1" s="135">
        <v>147150</v>
      </c>
      <c r="AWD1" s="10">
        <v>4</v>
      </c>
      <c r="AWE1" s="10">
        <v>10</v>
      </c>
      <c r="AWF1" s="10">
        <v>1</v>
      </c>
      <c r="AWG1" s="10">
        <v>20</v>
      </c>
      <c r="AWH1" s="10">
        <v>4</v>
      </c>
      <c r="AWI1" s="10">
        <v>270</v>
      </c>
      <c r="AWK1" s="10" t="s">
        <v>66</v>
      </c>
      <c r="AWL1" s="10" t="s">
        <v>57</v>
      </c>
      <c r="AWM1" s="10" t="s">
        <v>68</v>
      </c>
      <c r="AWN1" s="10" t="s">
        <v>59</v>
      </c>
      <c r="AWO1" s="10" t="s">
        <v>60</v>
      </c>
      <c r="AWP1" s="10">
        <v>1</v>
      </c>
      <c r="AWQ1" s="135">
        <v>7116</v>
      </c>
      <c r="AWR1" s="10">
        <v>0</v>
      </c>
      <c r="AWS1" s="135">
        <v>7116</v>
      </c>
      <c r="AWT1" s="10">
        <v>404</v>
      </c>
      <c r="AWU1" s="10">
        <v>0</v>
      </c>
      <c r="AWV1" s="135">
        <v>1186</v>
      </c>
      <c r="AWW1" s="135">
        <v>11860</v>
      </c>
      <c r="AWX1" s="10">
        <v>865</v>
      </c>
      <c r="AWY1" s="10">
        <v>226</v>
      </c>
      <c r="AWZ1" s="10">
        <v>534.07000000000005</v>
      </c>
      <c r="AXA1" s="10">
        <v>150</v>
      </c>
      <c r="AXB1" s="10">
        <v>629</v>
      </c>
      <c r="AXC1" s="10">
        <v>389</v>
      </c>
      <c r="AXD1" s="135">
        <v>3558</v>
      </c>
      <c r="AXE1" s="10">
        <v>285</v>
      </c>
      <c r="AXF1" s="10">
        <v>16</v>
      </c>
      <c r="AXG1" s="10">
        <v>35</v>
      </c>
      <c r="AXH1" s="10">
        <v>9</v>
      </c>
      <c r="AXI1" s="10">
        <v>21</v>
      </c>
      <c r="AXJ1" s="10">
        <v>6</v>
      </c>
      <c r="AXK1" s="10">
        <v>25</v>
      </c>
      <c r="AXL1" s="10">
        <v>16</v>
      </c>
      <c r="AXM1" s="10">
        <v>0</v>
      </c>
      <c r="AXN1" s="10">
        <v>47</v>
      </c>
      <c r="AXO1" s="10">
        <v>142</v>
      </c>
      <c r="AXP1" s="10">
        <v>474</v>
      </c>
      <c r="AXQ1" s="135">
        <v>5614</v>
      </c>
      <c r="AXR1" s="135">
        <v>6000</v>
      </c>
      <c r="AXS1" s="135">
        <v>151969</v>
      </c>
      <c r="BDK1" s="10">
        <v>5</v>
      </c>
      <c r="BDL1" s="10">
        <v>10</v>
      </c>
      <c r="BDM1" s="10">
        <v>1</v>
      </c>
      <c r="BDN1" s="10">
        <v>20</v>
      </c>
      <c r="BDO1" s="10">
        <v>5</v>
      </c>
      <c r="BDP1" s="10">
        <v>270</v>
      </c>
      <c r="BDR1" s="10" t="s">
        <v>69</v>
      </c>
      <c r="BDS1" s="10" t="s">
        <v>57</v>
      </c>
      <c r="BDT1" s="10" t="s">
        <v>64</v>
      </c>
      <c r="BDU1" s="10" t="s">
        <v>65</v>
      </c>
      <c r="BDV1" s="10" t="s">
        <v>60</v>
      </c>
      <c r="BDW1" s="10">
        <v>1</v>
      </c>
      <c r="BDX1" s="135">
        <v>6852</v>
      </c>
      <c r="BDY1" s="10">
        <v>0</v>
      </c>
      <c r="BDZ1" s="135">
        <v>6852</v>
      </c>
      <c r="BEA1" s="10">
        <v>471</v>
      </c>
      <c r="BEB1" s="10">
        <v>0</v>
      </c>
      <c r="BEC1" s="135">
        <v>1142</v>
      </c>
      <c r="BED1" s="135">
        <v>11420</v>
      </c>
      <c r="BEE1" s="10">
        <v>842</v>
      </c>
      <c r="BEF1" s="10">
        <v>220</v>
      </c>
      <c r="BEG1" s="10">
        <v>527.96</v>
      </c>
      <c r="BEH1" s="10">
        <v>146</v>
      </c>
      <c r="BEI1" s="10">
        <v>619</v>
      </c>
      <c r="BEJ1" s="10">
        <v>379</v>
      </c>
      <c r="BEK1" s="135">
        <v>3426</v>
      </c>
      <c r="BEL1" s="10">
        <v>274</v>
      </c>
      <c r="BEM1" s="10">
        <v>19</v>
      </c>
      <c r="BEN1" s="10">
        <v>34</v>
      </c>
      <c r="BEO1" s="10">
        <v>9</v>
      </c>
      <c r="BEP1" s="10">
        <v>21</v>
      </c>
      <c r="BEQ1" s="10">
        <v>6</v>
      </c>
      <c r="BER1" s="10">
        <v>25</v>
      </c>
      <c r="BES1" s="10">
        <v>15</v>
      </c>
      <c r="BET1" s="10">
        <v>0</v>
      </c>
      <c r="BEU1" s="10">
        <v>46</v>
      </c>
      <c r="BEV1" s="10">
        <v>137</v>
      </c>
      <c r="BEW1" s="10">
        <v>457</v>
      </c>
      <c r="BEX1" s="135">
        <v>5467</v>
      </c>
      <c r="BEY1" s="135">
        <v>6000</v>
      </c>
      <c r="BEZ1" s="135">
        <v>148143</v>
      </c>
      <c r="BKR1" s="10">
        <v>6</v>
      </c>
      <c r="BKS1" s="10">
        <v>10</v>
      </c>
      <c r="BKT1" s="10">
        <v>1</v>
      </c>
      <c r="BKU1" s="10">
        <v>20</v>
      </c>
      <c r="BKV1" s="10">
        <v>6</v>
      </c>
      <c r="BKW1" s="10">
        <v>270</v>
      </c>
      <c r="BKY1" s="10" t="s">
        <v>71</v>
      </c>
      <c r="BKZ1" s="10" t="s">
        <v>57</v>
      </c>
      <c r="BLA1" s="10" t="s">
        <v>58</v>
      </c>
      <c r="BLB1" s="10" t="s">
        <v>73</v>
      </c>
      <c r="BLC1" s="10" t="s">
        <v>74</v>
      </c>
      <c r="BLD1" s="10">
        <v>1</v>
      </c>
      <c r="BLE1" s="135">
        <v>7713</v>
      </c>
      <c r="BLF1" s="10">
        <v>0</v>
      </c>
      <c r="BLG1" s="135">
        <v>7713</v>
      </c>
      <c r="BLH1" s="10">
        <v>404</v>
      </c>
      <c r="BLI1" s="10">
        <v>0</v>
      </c>
      <c r="BLJ1" s="135">
        <v>1286</v>
      </c>
      <c r="BLK1" s="135">
        <v>12855</v>
      </c>
      <c r="BLL1" s="10">
        <v>933</v>
      </c>
      <c r="BLM1" s="10">
        <v>244</v>
      </c>
      <c r="BLN1" s="10">
        <v>556.1</v>
      </c>
      <c r="BLO1" s="10">
        <v>162</v>
      </c>
      <c r="BLP1" s="10">
        <v>714</v>
      </c>
      <c r="BLQ1" s="10">
        <v>490</v>
      </c>
      <c r="BLR1" s="135">
        <v>3857</v>
      </c>
      <c r="BLS1" s="10">
        <v>309</v>
      </c>
      <c r="BLT1" s="10">
        <v>16</v>
      </c>
      <c r="BLU1" s="10">
        <v>37</v>
      </c>
      <c r="BLV1" s="10">
        <v>10</v>
      </c>
      <c r="BLW1" s="10">
        <v>22</v>
      </c>
      <c r="BLX1" s="10">
        <v>6</v>
      </c>
      <c r="BLY1" s="10">
        <v>29</v>
      </c>
      <c r="BLZ1" s="10">
        <v>20</v>
      </c>
      <c r="BMA1" s="10">
        <v>0</v>
      </c>
      <c r="BMB1" s="10">
        <v>51</v>
      </c>
      <c r="BMC1" s="10">
        <v>154</v>
      </c>
      <c r="BMD1" s="10">
        <v>514</v>
      </c>
      <c r="BME1" s="135">
        <v>6104</v>
      </c>
      <c r="BMF1" s="135">
        <v>6000</v>
      </c>
      <c r="BMG1" s="135">
        <v>164694</v>
      </c>
      <c r="BRY1" s="10">
        <v>7</v>
      </c>
      <c r="BRZ1" s="10">
        <v>10</v>
      </c>
      <c r="BSA1" s="10">
        <v>1</v>
      </c>
      <c r="BSB1" s="10">
        <v>20</v>
      </c>
      <c r="BSC1" s="10">
        <v>7</v>
      </c>
      <c r="BSD1" s="10">
        <v>270</v>
      </c>
      <c r="BSF1" s="10" t="s">
        <v>75</v>
      </c>
      <c r="BSG1" s="10" t="s">
        <v>57</v>
      </c>
      <c r="BSH1" s="10" t="s">
        <v>64</v>
      </c>
      <c r="BSI1" s="10" t="s">
        <v>65</v>
      </c>
      <c r="BSJ1" s="10" t="s">
        <v>60</v>
      </c>
      <c r="BSK1" s="10">
        <v>1</v>
      </c>
      <c r="BSL1" s="135">
        <v>6852</v>
      </c>
      <c r="BSM1" s="10">
        <v>0</v>
      </c>
      <c r="BSN1" s="135">
        <v>6852</v>
      </c>
      <c r="BSO1" s="10">
        <v>269</v>
      </c>
      <c r="BSP1" s="10">
        <v>0</v>
      </c>
      <c r="BSQ1" s="135">
        <v>1142</v>
      </c>
      <c r="BSR1" s="135">
        <v>11421</v>
      </c>
      <c r="BSS1" s="10">
        <v>819</v>
      </c>
      <c r="BST1" s="10">
        <v>214</v>
      </c>
      <c r="BSU1" s="10">
        <v>523.24</v>
      </c>
      <c r="BSV1" s="10">
        <v>142</v>
      </c>
      <c r="BSW1" s="10">
        <v>619</v>
      </c>
      <c r="BSX1" s="10">
        <v>379</v>
      </c>
      <c r="BSY1" s="135">
        <v>3426</v>
      </c>
      <c r="BSZ1" s="10">
        <v>274</v>
      </c>
      <c r="BTA1" s="10">
        <v>11</v>
      </c>
      <c r="BTB1" s="10">
        <v>33</v>
      </c>
      <c r="BTC1" s="10">
        <v>9</v>
      </c>
      <c r="BTD1" s="10">
        <v>21</v>
      </c>
      <c r="BTE1" s="10">
        <v>6</v>
      </c>
      <c r="BTF1" s="10">
        <v>25</v>
      </c>
      <c r="BTG1" s="10">
        <v>15</v>
      </c>
      <c r="BTH1" s="10">
        <v>0</v>
      </c>
      <c r="BTI1" s="10">
        <v>46</v>
      </c>
      <c r="BTJ1" s="10">
        <v>137</v>
      </c>
      <c r="BTK1" s="10">
        <v>457</v>
      </c>
      <c r="BTL1" s="135">
        <v>5352</v>
      </c>
      <c r="BTM1" s="135">
        <v>6000</v>
      </c>
      <c r="BTN1" s="135">
        <v>145154</v>
      </c>
      <c r="BZF1" s="10">
        <v>8</v>
      </c>
      <c r="BZG1" s="10">
        <v>10</v>
      </c>
      <c r="BZH1" s="10">
        <v>1</v>
      </c>
      <c r="BZI1" s="10">
        <v>20</v>
      </c>
      <c r="BZJ1" s="10">
        <v>8</v>
      </c>
      <c r="BZK1" s="10">
        <v>270</v>
      </c>
      <c r="BZM1" s="10" t="s">
        <v>77</v>
      </c>
      <c r="BZN1" s="10" t="s">
        <v>57</v>
      </c>
      <c r="BZO1" s="10" t="s">
        <v>79</v>
      </c>
      <c r="BZP1" s="10" t="s">
        <v>80</v>
      </c>
      <c r="BZQ1" s="10" t="s">
        <v>60</v>
      </c>
      <c r="BZR1" s="10">
        <v>1</v>
      </c>
      <c r="BZS1" s="135">
        <v>8086</v>
      </c>
      <c r="BZT1" s="10">
        <v>0</v>
      </c>
      <c r="BZU1" s="135">
        <v>8086</v>
      </c>
      <c r="BZV1" s="10">
        <v>202</v>
      </c>
      <c r="BZW1" s="10">
        <v>0</v>
      </c>
      <c r="BZX1" s="135">
        <v>1348</v>
      </c>
      <c r="BZY1" s="135">
        <v>13477</v>
      </c>
      <c r="BZZ1" s="10">
        <v>953</v>
      </c>
      <c r="CAA1" s="10">
        <v>249</v>
      </c>
      <c r="CAB1" s="10">
        <v>557.42999999999995</v>
      </c>
      <c r="CAC1" s="10">
        <v>166</v>
      </c>
      <c r="CAD1" s="10">
        <v>722</v>
      </c>
      <c r="CAE1" s="10">
        <v>500</v>
      </c>
      <c r="CAF1" s="135">
        <v>4043</v>
      </c>
      <c r="CAG1" s="10">
        <v>323</v>
      </c>
      <c r="CAH1" s="10">
        <v>8</v>
      </c>
      <c r="CAI1" s="10">
        <v>38</v>
      </c>
      <c r="CAJ1" s="10">
        <v>10</v>
      </c>
      <c r="CAK1" s="10">
        <v>22</v>
      </c>
      <c r="CAL1" s="10">
        <v>7</v>
      </c>
      <c r="CAM1" s="10">
        <v>29</v>
      </c>
      <c r="CAN1" s="10">
        <v>20</v>
      </c>
      <c r="CAO1" s="10">
        <v>0</v>
      </c>
      <c r="CAP1" s="10">
        <v>54</v>
      </c>
      <c r="CAQ1" s="10">
        <v>162</v>
      </c>
      <c r="CAR1" s="10">
        <v>539</v>
      </c>
      <c r="CAS1" s="135">
        <v>6244</v>
      </c>
      <c r="CAT1" s="135">
        <v>6000</v>
      </c>
      <c r="CAU1" s="135">
        <v>168332</v>
      </c>
      <c r="CGM1" s="10">
        <v>9</v>
      </c>
      <c r="CGN1" s="10">
        <v>10</v>
      </c>
      <c r="CGO1" s="10">
        <v>1</v>
      </c>
      <c r="CGP1" s="10">
        <v>20</v>
      </c>
      <c r="CGQ1" s="10">
        <v>9</v>
      </c>
      <c r="CGR1" s="10">
        <v>270</v>
      </c>
      <c r="CGT1" s="10" t="s">
        <v>81</v>
      </c>
      <c r="CGU1" s="10" t="s">
        <v>57</v>
      </c>
      <c r="CGV1" s="10" t="s">
        <v>68</v>
      </c>
      <c r="CGW1" s="10" t="s">
        <v>59</v>
      </c>
      <c r="CGX1" s="10" t="s">
        <v>60</v>
      </c>
      <c r="CGY1" s="10">
        <v>1</v>
      </c>
      <c r="CGZ1" s="135">
        <v>7116</v>
      </c>
      <c r="CHA1" s="10">
        <v>0</v>
      </c>
      <c r="CHB1" s="135">
        <v>7116</v>
      </c>
      <c r="CHC1" s="10">
        <v>336</v>
      </c>
      <c r="CHD1" s="135">
        <v>3084</v>
      </c>
      <c r="CHE1" s="135">
        <v>1186</v>
      </c>
      <c r="CHF1" s="135">
        <v>11860</v>
      </c>
      <c r="CHG1" s="10">
        <v>857</v>
      </c>
      <c r="CHH1" s="10">
        <v>224</v>
      </c>
      <c r="CHI1" s="10">
        <v>532.5</v>
      </c>
      <c r="CHJ1" s="10">
        <v>149</v>
      </c>
      <c r="CHK1" s="10">
        <v>629</v>
      </c>
      <c r="CHL1" s="10">
        <v>389</v>
      </c>
      <c r="CHM1" s="135">
        <v>3558</v>
      </c>
      <c r="CHN1" s="10">
        <v>285</v>
      </c>
      <c r="CHO1" s="10">
        <v>13</v>
      </c>
      <c r="CHP1" s="10">
        <v>34</v>
      </c>
      <c r="CHQ1" s="10">
        <v>9</v>
      </c>
      <c r="CHR1" s="10">
        <v>21</v>
      </c>
      <c r="CHS1" s="10">
        <v>6</v>
      </c>
      <c r="CHT1" s="10">
        <v>25</v>
      </c>
      <c r="CHU1" s="10">
        <v>16</v>
      </c>
      <c r="CHV1" s="10">
        <v>123</v>
      </c>
      <c r="CHW1" s="10">
        <v>47</v>
      </c>
      <c r="CHX1" s="10">
        <v>142</v>
      </c>
      <c r="CHY1" s="10">
        <v>474</v>
      </c>
      <c r="CHZ1" s="135">
        <v>5699</v>
      </c>
      <c r="CIA1" s="135">
        <v>6000</v>
      </c>
      <c r="CIB1" s="135">
        <v>154178</v>
      </c>
      <c r="CNT1" s="10">
        <v>10</v>
      </c>
      <c r="CNU1" s="10">
        <v>10</v>
      </c>
      <c r="CNV1" s="10">
        <v>1</v>
      </c>
      <c r="CNW1" s="10">
        <v>20</v>
      </c>
      <c r="CNX1" s="10">
        <v>10</v>
      </c>
      <c r="CNY1" s="10">
        <v>270</v>
      </c>
      <c r="COA1" s="10" t="s">
        <v>315</v>
      </c>
      <c r="COB1" s="10" t="s">
        <v>143</v>
      </c>
      <c r="COC1" s="10" t="s">
        <v>283</v>
      </c>
      <c r="COD1" s="10" t="s">
        <v>316</v>
      </c>
      <c r="COE1" s="10" t="s">
        <v>89</v>
      </c>
      <c r="COF1" s="10">
        <v>1</v>
      </c>
      <c r="COG1" s="135">
        <v>27627</v>
      </c>
      <c r="COH1" s="10">
        <v>0</v>
      </c>
      <c r="COI1" s="135">
        <v>27627</v>
      </c>
      <c r="COJ1" s="10">
        <v>471</v>
      </c>
      <c r="COK1" s="10">
        <v>0</v>
      </c>
      <c r="COL1" s="135">
        <v>4605</v>
      </c>
      <c r="COM1" s="135">
        <v>46045</v>
      </c>
      <c r="CON1" s="135">
        <v>3231</v>
      </c>
      <c r="COO1" s="10">
        <v>843</v>
      </c>
      <c r="COP1" s="10">
        <v>1168.18</v>
      </c>
      <c r="COQ1" s="10">
        <v>562</v>
      </c>
      <c r="COR1" s="135">
        <v>1664</v>
      </c>
      <c r="COS1" s="135">
        <v>1119</v>
      </c>
      <c r="COT1" s="135">
        <v>13814</v>
      </c>
      <c r="COU1" s="135">
        <v>1105</v>
      </c>
      <c r="COV1" s="10">
        <v>19</v>
      </c>
      <c r="COW1" s="10">
        <v>129</v>
      </c>
      <c r="COX1" s="10">
        <v>34</v>
      </c>
      <c r="COY1" s="10">
        <v>47</v>
      </c>
      <c r="COZ1" s="10">
        <v>22</v>
      </c>
      <c r="CPA1" s="10">
        <v>67</v>
      </c>
      <c r="CPB1" s="10">
        <v>45</v>
      </c>
      <c r="CPC1" s="10">
        <v>0</v>
      </c>
      <c r="CPD1" s="10">
        <v>184</v>
      </c>
      <c r="CPE1" s="10">
        <v>553</v>
      </c>
      <c r="CPF1" s="135">
        <v>1842</v>
      </c>
      <c r="CPG1" s="135">
        <v>20188</v>
      </c>
      <c r="CPH1" s="10">
        <v>0</v>
      </c>
      <c r="CPI1" s="135">
        <v>524875</v>
      </c>
      <c r="CVA1" s="10">
        <v>11</v>
      </c>
      <c r="CVB1" s="10">
        <v>10</v>
      </c>
      <c r="CVC1" s="10">
        <v>1</v>
      </c>
      <c r="CVD1" s="10">
        <v>20</v>
      </c>
      <c r="CVE1" s="10">
        <v>11</v>
      </c>
      <c r="CVF1" s="10">
        <v>270</v>
      </c>
      <c r="CVH1" s="10" t="s">
        <v>83</v>
      </c>
      <c r="CVI1" s="10" t="s">
        <v>57</v>
      </c>
      <c r="CVJ1" s="10" t="s">
        <v>68</v>
      </c>
      <c r="CVK1" s="10" t="s">
        <v>85</v>
      </c>
      <c r="CVL1" s="10" t="s">
        <v>60</v>
      </c>
      <c r="CVM1" s="10">
        <v>1</v>
      </c>
      <c r="CVN1" s="135">
        <v>7116</v>
      </c>
      <c r="CVO1" s="10">
        <v>0</v>
      </c>
      <c r="CVP1" s="135">
        <v>7116</v>
      </c>
      <c r="CVQ1" s="10">
        <v>202</v>
      </c>
      <c r="CVR1" s="10">
        <v>0</v>
      </c>
      <c r="CVS1" s="135">
        <v>1186</v>
      </c>
      <c r="CVT1" s="135">
        <v>11860</v>
      </c>
      <c r="CVU1" s="10">
        <v>842</v>
      </c>
      <c r="CVV1" s="10">
        <v>220</v>
      </c>
      <c r="CVW1" s="10">
        <v>529.35</v>
      </c>
      <c r="CVX1" s="10">
        <v>146</v>
      </c>
      <c r="CVY1" s="10">
        <v>629</v>
      </c>
      <c r="CVZ1" s="10">
        <v>389</v>
      </c>
      <c r="CWA1" s="135">
        <v>3558</v>
      </c>
      <c r="CWB1" s="10">
        <v>285</v>
      </c>
      <c r="CWC1" s="10">
        <v>8</v>
      </c>
      <c r="CWD1" s="10">
        <v>34</v>
      </c>
      <c r="CWE1" s="10">
        <v>9</v>
      </c>
      <c r="CWF1" s="10">
        <v>21</v>
      </c>
      <c r="CWG1" s="10">
        <v>6</v>
      </c>
      <c r="CWH1" s="10">
        <v>25</v>
      </c>
      <c r="CWI1" s="10">
        <v>16</v>
      </c>
      <c r="CWJ1" s="10">
        <v>0</v>
      </c>
      <c r="CWK1" s="10">
        <v>47</v>
      </c>
      <c r="CWL1" s="10">
        <v>142</v>
      </c>
      <c r="CWM1" s="10">
        <v>474</v>
      </c>
      <c r="CWN1" s="135">
        <v>5499</v>
      </c>
      <c r="CWO1" s="135">
        <v>6000</v>
      </c>
      <c r="CWP1" s="135">
        <v>148975</v>
      </c>
      <c r="DCH1" s="10">
        <v>12</v>
      </c>
      <c r="DCI1" s="10">
        <v>10</v>
      </c>
      <c r="DCJ1" s="10">
        <v>1</v>
      </c>
      <c r="DCK1" s="10">
        <v>20</v>
      </c>
      <c r="DCL1" s="10">
        <v>12</v>
      </c>
      <c r="DCM1" s="10">
        <v>270</v>
      </c>
      <c r="DCO1" s="10" t="s">
        <v>86</v>
      </c>
      <c r="DCP1" s="10" t="s">
        <v>57</v>
      </c>
      <c r="DCQ1" s="10" t="s">
        <v>68</v>
      </c>
      <c r="DCR1" s="10" t="s">
        <v>317</v>
      </c>
      <c r="DCS1" s="10" t="s">
        <v>74</v>
      </c>
      <c r="DCT1" s="10">
        <v>1</v>
      </c>
      <c r="DCU1" s="135">
        <v>7116</v>
      </c>
      <c r="DCV1" s="10">
        <v>0</v>
      </c>
      <c r="DCW1" s="135">
        <v>7116</v>
      </c>
      <c r="DCX1" s="10">
        <v>0</v>
      </c>
      <c r="DCY1" s="10">
        <v>0</v>
      </c>
      <c r="DCZ1" s="135">
        <v>1186</v>
      </c>
      <c r="DDA1" s="135">
        <v>11860</v>
      </c>
      <c r="DDB1" s="10">
        <v>818</v>
      </c>
      <c r="DDC1" s="10">
        <v>213</v>
      </c>
      <c r="DDD1" s="10">
        <v>524.64</v>
      </c>
      <c r="DDE1" s="10">
        <v>142</v>
      </c>
      <c r="DDF1" s="10">
        <v>629</v>
      </c>
      <c r="DDG1" s="10">
        <v>389</v>
      </c>
      <c r="DDH1" s="135">
        <v>3558</v>
      </c>
      <c r="DDI1" s="10">
        <v>285</v>
      </c>
      <c r="DDJ1" s="10">
        <v>0</v>
      </c>
      <c r="DDK1" s="10">
        <v>33</v>
      </c>
      <c r="DDL1" s="10">
        <v>9</v>
      </c>
      <c r="DDM1" s="10">
        <v>21</v>
      </c>
      <c r="DDN1" s="10">
        <v>6</v>
      </c>
      <c r="DDO1" s="10">
        <v>25</v>
      </c>
      <c r="DDP1" s="10">
        <v>16</v>
      </c>
      <c r="DDQ1" s="10">
        <v>0</v>
      </c>
      <c r="DDR1" s="10">
        <v>47</v>
      </c>
      <c r="DDS1" s="10">
        <v>142</v>
      </c>
      <c r="DDT1" s="10">
        <v>474</v>
      </c>
      <c r="DDU1" s="135">
        <v>5384</v>
      </c>
      <c r="DDV1" s="135">
        <v>6000</v>
      </c>
      <c r="DDW1" s="135">
        <v>145981</v>
      </c>
      <c r="DJO1" s="10">
        <v>13</v>
      </c>
      <c r="DJP1" s="10">
        <v>10</v>
      </c>
      <c r="DJQ1" s="10">
        <v>1</v>
      </c>
      <c r="DJR1" s="10">
        <v>20</v>
      </c>
      <c r="DJS1" s="10">
        <v>68</v>
      </c>
      <c r="DJT1" s="10">
        <v>270</v>
      </c>
      <c r="DJV1" s="10" t="s">
        <v>90</v>
      </c>
      <c r="DJW1" s="10" t="s">
        <v>57</v>
      </c>
      <c r="DJX1" s="10" t="s">
        <v>92</v>
      </c>
      <c r="DJY1" s="10" t="s">
        <v>65</v>
      </c>
      <c r="DJZ1" s="10" t="s">
        <v>60</v>
      </c>
      <c r="DKA1" s="10">
        <v>1</v>
      </c>
      <c r="DKB1" s="135">
        <v>10823</v>
      </c>
      <c r="DKC1" s="10">
        <v>0</v>
      </c>
      <c r="DKD1" s="135">
        <v>10823</v>
      </c>
      <c r="DKE1" s="10">
        <v>0</v>
      </c>
      <c r="DKF1" s="135">
        <v>4690</v>
      </c>
      <c r="DKG1" s="135">
        <v>1804</v>
      </c>
      <c r="DKH1" s="135">
        <v>18038</v>
      </c>
      <c r="DKI1" s="135">
        <v>1245</v>
      </c>
      <c r="DKJ1" s="10">
        <v>325</v>
      </c>
      <c r="DKK1" s="10">
        <v>636.9</v>
      </c>
      <c r="DKL1" s="10">
        <v>216</v>
      </c>
      <c r="DKM1" s="10">
        <v>951</v>
      </c>
      <c r="DKN1" s="10">
        <v>665</v>
      </c>
      <c r="DKO1" s="135">
        <v>5411</v>
      </c>
      <c r="DKP1" s="10">
        <v>433</v>
      </c>
      <c r="DKQ1" s="10">
        <v>0</v>
      </c>
      <c r="DKR1" s="10">
        <v>50</v>
      </c>
      <c r="DKS1" s="10">
        <v>13</v>
      </c>
      <c r="DKT1" s="10">
        <v>25</v>
      </c>
      <c r="DKU1" s="10">
        <v>9</v>
      </c>
      <c r="DKV1" s="10">
        <v>38</v>
      </c>
      <c r="DKW1" s="10">
        <v>27</v>
      </c>
      <c r="DKX1" s="10">
        <v>188</v>
      </c>
      <c r="DKY1" s="10">
        <v>72</v>
      </c>
      <c r="DKZ1" s="10">
        <v>216</v>
      </c>
      <c r="DLA1" s="10">
        <v>722</v>
      </c>
      <c r="DLB1" s="135">
        <v>8331</v>
      </c>
      <c r="DLC1" s="135">
        <v>6000</v>
      </c>
      <c r="DLD1" s="135">
        <v>222607</v>
      </c>
      <c r="DQV1" s="10">
        <v>14</v>
      </c>
      <c r="DQW1" s="10">
        <v>10</v>
      </c>
      <c r="DQX1" s="10">
        <v>1</v>
      </c>
      <c r="DQY1" s="10">
        <v>20</v>
      </c>
      <c r="DQZ1" s="10">
        <v>13</v>
      </c>
      <c r="DRA1" s="10">
        <v>270</v>
      </c>
      <c r="DRC1" s="10" t="s">
        <v>93</v>
      </c>
      <c r="DRD1" s="10" t="s">
        <v>57</v>
      </c>
      <c r="DRE1" s="10" t="s">
        <v>68</v>
      </c>
      <c r="DRF1" s="10" t="s">
        <v>59</v>
      </c>
      <c r="DRG1" s="10" t="s">
        <v>60</v>
      </c>
      <c r="DRH1" s="10">
        <v>1</v>
      </c>
      <c r="DRI1" s="135">
        <v>7116</v>
      </c>
      <c r="DRJ1" s="10">
        <v>0</v>
      </c>
      <c r="DRK1" s="135">
        <v>7116</v>
      </c>
      <c r="DRL1" s="10">
        <v>269</v>
      </c>
      <c r="DRM1" s="10">
        <v>0</v>
      </c>
      <c r="DRN1" s="135">
        <v>1186</v>
      </c>
      <c r="DRO1" s="135">
        <v>11860</v>
      </c>
      <c r="DRP1" s="10">
        <v>849</v>
      </c>
      <c r="DRQ1" s="10">
        <v>222</v>
      </c>
      <c r="DRR1" s="10">
        <v>530.91999999999996</v>
      </c>
      <c r="DRS1" s="10">
        <v>148</v>
      </c>
      <c r="DRT1" s="10">
        <v>629</v>
      </c>
      <c r="DRU1" s="10">
        <v>389</v>
      </c>
      <c r="DRV1" s="135">
        <v>3558</v>
      </c>
      <c r="DRW1" s="10">
        <v>285</v>
      </c>
      <c r="DRX1" s="10">
        <v>11</v>
      </c>
      <c r="DRY1" s="10">
        <v>34</v>
      </c>
      <c r="DRZ1" s="10">
        <v>9</v>
      </c>
      <c r="DSA1" s="10">
        <v>21</v>
      </c>
      <c r="DSB1" s="10">
        <v>6</v>
      </c>
      <c r="DSC1" s="10">
        <v>25</v>
      </c>
      <c r="DSD1" s="10">
        <v>16</v>
      </c>
      <c r="DSE1" s="10">
        <v>0</v>
      </c>
      <c r="DSF1" s="10">
        <v>47</v>
      </c>
      <c r="DSG1" s="10">
        <v>142</v>
      </c>
      <c r="DSH1" s="10">
        <v>474</v>
      </c>
      <c r="DSI1" s="135">
        <v>5537</v>
      </c>
      <c r="DSJ1" s="135">
        <v>6000</v>
      </c>
      <c r="DSK1" s="135">
        <v>149973</v>
      </c>
      <c r="DYC1" s="10">
        <v>15</v>
      </c>
      <c r="DYD1" s="10">
        <v>10</v>
      </c>
      <c r="DYE1" s="10">
        <v>1</v>
      </c>
      <c r="DYF1" s="10">
        <v>20</v>
      </c>
      <c r="DYG1" s="10">
        <v>14</v>
      </c>
      <c r="DYH1" s="10">
        <v>270</v>
      </c>
      <c r="DYJ1" s="10" t="s">
        <v>95</v>
      </c>
      <c r="DYK1" s="10" t="s">
        <v>57</v>
      </c>
      <c r="DYL1" s="10" t="s">
        <v>97</v>
      </c>
      <c r="DYM1" s="10" t="s">
        <v>89</v>
      </c>
      <c r="DYN1" s="10" t="s">
        <v>89</v>
      </c>
      <c r="DYO1" s="10">
        <v>1</v>
      </c>
      <c r="DYP1" s="135">
        <v>12122</v>
      </c>
      <c r="DYQ1" s="10">
        <v>0</v>
      </c>
      <c r="DYR1" s="135">
        <v>12122</v>
      </c>
      <c r="DYS1" s="10">
        <v>336</v>
      </c>
      <c r="DYT1" s="10">
        <v>0</v>
      </c>
      <c r="DYU1" s="135">
        <v>2020</v>
      </c>
      <c r="DYV1" s="135">
        <v>20203</v>
      </c>
      <c r="DYW1" s="135">
        <v>1433</v>
      </c>
      <c r="DYX1" s="10">
        <v>374</v>
      </c>
      <c r="DYY1" s="10">
        <v>683.07</v>
      </c>
      <c r="DYZ1" s="10">
        <v>249</v>
      </c>
      <c r="DZA1" s="135">
        <v>1021</v>
      </c>
      <c r="DZB1" s="10">
        <v>666</v>
      </c>
      <c r="DZC1" s="135">
        <v>6061</v>
      </c>
      <c r="DZD1" s="10">
        <v>485</v>
      </c>
      <c r="DZE1" s="10">
        <v>13</v>
      </c>
      <c r="DZF1" s="10">
        <v>57</v>
      </c>
      <c r="DZG1" s="10">
        <v>15</v>
      </c>
      <c r="DZH1" s="10">
        <v>27</v>
      </c>
      <c r="DZI1" s="10">
        <v>10</v>
      </c>
      <c r="DZJ1" s="10">
        <v>41</v>
      </c>
      <c r="DZK1" s="10">
        <v>27</v>
      </c>
      <c r="DZL1" s="10">
        <v>0</v>
      </c>
      <c r="DZM1" s="10">
        <v>81</v>
      </c>
      <c r="DZN1" s="10">
        <v>242</v>
      </c>
      <c r="DZO1" s="10">
        <v>808</v>
      </c>
      <c r="DZP1" s="135">
        <v>9235</v>
      </c>
      <c r="DZQ1" s="135">
        <v>6000</v>
      </c>
      <c r="DZR1" s="135">
        <v>246122</v>
      </c>
      <c r="EFJ1" s="10">
        <v>16</v>
      </c>
      <c r="EFK1" s="10">
        <v>10</v>
      </c>
      <c r="EFL1" s="10">
        <v>1</v>
      </c>
      <c r="EFM1" s="10">
        <v>20</v>
      </c>
      <c r="EFN1" s="10">
        <v>15</v>
      </c>
      <c r="EFO1" s="10">
        <v>270</v>
      </c>
      <c r="EFQ1" s="10" t="s">
        <v>98</v>
      </c>
      <c r="EFR1" s="10" t="s">
        <v>57</v>
      </c>
      <c r="EFS1" s="10" t="s">
        <v>68</v>
      </c>
      <c r="EFT1" s="10" t="s">
        <v>59</v>
      </c>
      <c r="EFU1" s="10" t="s">
        <v>60</v>
      </c>
      <c r="EFV1" s="10">
        <v>1</v>
      </c>
      <c r="EFW1" s="135">
        <v>7116</v>
      </c>
      <c r="EFX1" s="10">
        <v>0</v>
      </c>
      <c r="EFY1" s="135">
        <v>7116</v>
      </c>
      <c r="EFZ1" s="10">
        <v>336</v>
      </c>
      <c r="EGA1" s="10">
        <v>0</v>
      </c>
      <c r="EGB1" s="135">
        <v>1186</v>
      </c>
      <c r="EGC1" s="135">
        <v>11860</v>
      </c>
      <c r="EGD1" s="10">
        <v>857</v>
      </c>
      <c r="EGE1" s="10">
        <v>224</v>
      </c>
      <c r="EGF1" s="10">
        <v>532.5</v>
      </c>
      <c r="EGG1" s="10">
        <v>149</v>
      </c>
      <c r="EGH1" s="10">
        <v>629</v>
      </c>
      <c r="EGI1" s="10">
        <v>389</v>
      </c>
      <c r="EGJ1" s="135">
        <v>3558</v>
      </c>
      <c r="EGK1" s="10">
        <v>285</v>
      </c>
      <c r="EGL1" s="10">
        <v>13</v>
      </c>
      <c r="EGM1" s="10">
        <v>34</v>
      </c>
      <c r="EGN1" s="10">
        <v>9</v>
      </c>
      <c r="EGO1" s="10">
        <v>21</v>
      </c>
      <c r="EGP1" s="10">
        <v>6</v>
      </c>
      <c r="EGQ1" s="10">
        <v>25</v>
      </c>
      <c r="EGR1" s="10">
        <v>16</v>
      </c>
      <c r="EGS1" s="10">
        <v>0</v>
      </c>
      <c r="EGT1" s="10">
        <v>47</v>
      </c>
      <c r="EGU1" s="10">
        <v>142</v>
      </c>
      <c r="EGV1" s="10">
        <v>474</v>
      </c>
      <c r="EGW1" s="135">
        <v>5576</v>
      </c>
      <c r="EGX1" s="135">
        <v>6000</v>
      </c>
      <c r="EGY1" s="135">
        <v>150971</v>
      </c>
      <c r="EMQ1" s="10">
        <v>17</v>
      </c>
      <c r="EMR1" s="10">
        <v>10</v>
      </c>
      <c r="EMS1" s="10">
        <v>1</v>
      </c>
      <c r="EMT1" s="10">
        <v>20</v>
      </c>
      <c r="EMU1" s="10">
        <v>16</v>
      </c>
      <c r="EMV1" s="10">
        <v>270</v>
      </c>
      <c r="EMX1" s="10" t="s">
        <v>100</v>
      </c>
      <c r="EMY1" s="10" t="s">
        <v>57</v>
      </c>
      <c r="EMZ1" s="10" t="s">
        <v>58</v>
      </c>
      <c r="ENA1" s="10" t="s">
        <v>102</v>
      </c>
      <c r="ENB1" s="10" t="s">
        <v>74</v>
      </c>
      <c r="ENC1" s="10">
        <v>1</v>
      </c>
      <c r="END1" s="135">
        <v>7713</v>
      </c>
      <c r="ENE1" s="10">
        <v>0</v>
      </c>
      <c r="ENF1" s="135">
        <v>7713</v>
      </c>
      <c r="ENG1" s="10">
        <v>336</v>
      </c>
      <c r="ENH1" s="10">
        <v>0</v>
      </c>
      <c r="ENI1" s="135">
        <v>1286</v>
      </c>
      <c r="ENJ1" s="135">
        <v>12855</v>
      </c>
      <c r="ENK1" s="10">
        <v>926</v>
      </c>
      <c r="ENL1" s="10">
        <v>241</v>
      </c>
      <c r="ENM1" s="10">
        <v>554.52</v>
      </c>
      <c r="ENN1" s="10">
        <v>161</v>
      </c>
      <c r="ENO1" s="10">
        <v>714</v>
      </c>
      <c r="ENP1" s="10">
        <v>490</v>
      </c>
      <c r="ENQ1" s="135">
        <v>3857</v>
      </c>
      <c r="ENR1" s="10">
        <v>309</v>
      </c>
      <c r="ENS1" s="10">
        <v>13</v>
      </c>
      <c r="ENT1" s="10">
        <v>37</v>
      </c>
      <c r="ENU1" s="10">
        <v>10</v>
      </c>
      <c r="ENV1" s="10">
        <v>22</v>
      </c>
      <c r="ENW1" s="10">
        <v>6</v>
      </c>
      <c r="ENX1" s="10">
        <v>29</v>
      </c>
      <c r="ENY1" s="10">
        <v>20</v>
      </c>
      <c r="ENZ1" s="10">
        <v>0</v>
      </c>
      <c r="EOA1" s="10">
        <v>51</v>
      </c>
      <c r="EOB1" s="10">
        <v>154</v>
      </c>
      <c r="EOC1" s="10">
        <v>514</v>
      </c>
      <c r="EOD1" s="135">
        <v>6065</v>
      </c>
      <c r="EOE1" s="135">
        <v>6000</v>
      </c>
      <c r="EOF1" s="135">
        <v>163696</v>
      </c>
      <c r="ETX1" s="10">
        <v>18</v>
      </c>
      <c r="ETY1" s="10">
        <v>10</v>
      </c>
      <c r="ETZ1" s="10">
        <v>1</v>
      </c>
      <c r="EUA1" s="10">
        <v>20</v>
      </c>
      <c r="EUB1" s="10">
        <v>17</v>
      </c>
      <c r="EUC1" s="10">
        <v>270</v>
      </c>
      <c r="EUE1" s="10" t="s">
        <v>103</v>
      </c>
      <c r="EUF1" s="10" t="s">
        <v>57</v>
      </c>
      <c r="EUG1" s="10" t="s">
        <v>68</v>
      </c>
      <c r="EUH1" s="10" t="s">
        <v>59</v>
      </c>
      <c r="EUI1" s="10" t="s">
        <v>60</v>
      </c>
      <c r="EUJ1" s="10">
        <v>1</v>
      </c>
      <c r="EUK1" s="135">
        <v>7116</v>
      </c>
      <c r="EUL1" s="10">
        <v>0</v>
      </c>
      <c r="EUM1" s="135">
        <v>7116</v>
      </c>
      <c r="EUN1" s="10">
        <v>336</v>
      </c>
      <c r="EUO1" s="10">
        <v>0</v>
      </c>
      <c r="EUP1" s="135">
        <v>1186</v>
      </c>
      <c r="EUQ1" s="135">
        <v>11860</v>
      </c>
      <c r="EUR1" s="10">
        <v>857</v>
      </c>
      <c r="EUS1" s="10">
        <v>224</v>
      </c>
      <c r="EUT1" s="10">
        <v>532.5</v>
      </c>
      <c r="EUU1" s="10">
        <v>149</v>
      </c>
      <c r="EUV1" s="10">
        <v>629</v>
      </c>
      <c r="EUW1" s="10">
        <v>389</v>
      </c>
      <c r="EUX1" s="135">
        <v>3558</v>
      </c>
      <c r="EUY1" s="10">
        <v>285</v>
      </c>
      <c r="EUZ1" s="10">
        <v>13</v>
      </c>
      <c r="EVA1" s="10">
        <v>34</v>
      </c>
      <c r="EVB1" s="10">
        <v>9</v>
      </c>
      <c r="EVC1" s="10">
        <v>21</v>
      </c>
      <c r="EVD1" s="10">
        <v>6</v>
      </c>
      <c r="EVE1" s="10">
        <v>25</v>
      </c>
      <c r="EVF1" s="10">
        <v>16</v>
      </c>
      <c r="EVG1" s="10">
        <v>0</v>
      </c>
      <c r="EVH1" s="10">
        <v>47</v>
      </c>
      <c r="EVI1" s="10">
        <v>142</v>
      </c>
      <c r="EVJ1" s="10">
        <v>474</v>
      </c>
      <c r="EVK1" s="135">
        <v>5576</v>
      </c>
      <c r="EVL1" s="135">
        <v>6000</v>
      </c>
      <c r="EVM1" s="135">
        <v>150971</v>
      </c>
      <c r="FBE1" s="10">
        <v>19</v>
      </c>
      <c r="FBF1" s="10">
        <v>10</v>
      </c>
      <c r="FBG1" s="10">
        <v>1</v>
      </c>
      <c r="FBH1" s="10">
        <v>20</v>
      </c>
      <c r="FBI1" s="10">
        <v>18</v>
      </c>
      <c r="FBJ1" s="10">
        <v>270</v>
      </c>
      <c r="FBL1" s="10" t="s">
        <v>105</v>
      </c>
      <c r="FBM1" s="10" t="s">
        <v>57</v>
      </c>
      <c r="FBN1" s="10" t="s">
        <v>68</v>
      </c>
      <c r="FBO1" s="10" t="s">
        <v>107</v>
      </c>
      <c r="FBP1" s="10" t="s">
        <v>60</v>
      </c>
      <c r="FBQ1" s="10">
        <v>1</v>
      </c>
      <c r="FBR1" s="135">
        <v>7116</v>
      </c>
      <c r="FBS1" s="10">
        <v>0</v>
      </c>
      <c r="FBT1" s="135">
        <v>7116</v>
      </c>
      <c r="FBU1" s="10">
        <v>269</v>
      </c>
      <c r="FBV1" s="10">
        <v>0</v>
      </c>
      <c r="FBW1" s="135">
        <v>1186</v>
      </c>
      <c r="FBX1" s="135">
        <v>11860</v>
      </c>
      <c r="FBY1" s="10">
        <v>849</v>
      </c>
      <c r="FBZ1" s="10">
        <v>222</v>
      </c>
      <c r="FCA1" s="10">
        <v>530.91999999999996</v>
      </c>
      <c r="FCB1" s="10">
        <v>148</v>
      </c>
      <c r="FCC1" s="10">
        <v>629</v>
      </c>
      <c r="FCD1" s="10">
        <v>389</v>
      </c>
      <c r="FCE1" s="135">
        <v>3558</v>
      </c>
      <c r="FCF1" s="10">
        <v>285</v>
      </c>
      <c r="FCG1" s="10">
        <v>11</v>
      </c>
      <c r="FCH1" s="10">
        <v>34</v>
      </c>
      <c r="FCI1" s="10">
        <v>9</v>
      </c>
      <c r="FCJ1" s="10">
        <v>21</v>
      </c>
      <c r="FCK1" s="10">
        <v>6</v>
      </c>
      <c r="FCL1" s="10">
        <v>25</v>
      </c>
      <c r="FCM1" s="10">
        <v>16</v>
      </c>
      <c r="FCN1" s="10">
        <v>0</v>
      </c>
      <c r="FCO1" s="10">
        <v>47</v>
      </c>
      <c r="FCP1" s="10">
        <v>142</v>
      </c>
      <c r="FCQ1" s="10">
        <v>474</v>
      </c>
      <c r="FCR1" s="135">
        <v>5537</v>
      </c>
      <c r="FCS1" s="135">
        <v>6000</v>
      </c>
      <c r="FCT1" s="135">
        <v>149973</v>
      </c>
      <c r="FIL1" s="10">
        <v>20</v>
      </c>
      <c r="FIM1" s="10">
        <v>10</v>
      </c>
      <c r="FIN1" s="10">
        <v>1</v>
      </c>
      <c r="FIO1" s="10">
        <v>20</v>
      </c>
      <c r="FIP1" s="10">
        <v>19</v>
      </c>
      <c r="FIQ1" s="10">
        <v>270</v>
      </c>
      <c r="FIS1" s="10" t="s">
        <v>108</v>
      </c>
      <c r="FIT1" s="10" t="s">
        <v>57</v>
      </c>
      <c r="FIU1" s="10" t="s">
        <v>68</v>
      </c>
      <c r="FIV1" s="10" t="s">
        <v>59</v>
      </c>
      <c r="FIW1" s="10" t="s">
        <v>60</v>
      </c>
      <c r="FIX1" s="10">
        <v>1</v>
      </c>
      <c r="FIY1" s="135">
        <v>7116</v>
      </c>
      <c r="FIZ1" s="10">
        <v>0</v>
      </c>
      <c r="FJA1" s="135">
        <v>7116</v>
      </c>
      <c r="FJB1" s="10">
        <v>269</v>
      </c>
      <c r="FJC1" s="135">
        <v>3084</v>
      </c>
      <c r="FJD1" s="135">
        <v>1186</v>
      </c>
      <c r="FJE1" s="135">
        <v>11860</v>
      </c>
      <c r="FJF1" s="10">
        <v>849</v>
      </c>
      <c r="FJG1" s="10">
        <v>222</v>
      </c>
      <c r="FJH1" s="10">
        <v>530.91999999999996</v>
      </c>
      <c r="FJI1" s="10">
        <v>148</v>
      </c>
      <c r="FJJ1" s="10">
        <v>629</v>
      </c>
      <c r="FJK1" s="10">
        <v>389</v>
      </c>
      <c r="FJL1" s="135">
        <v>3558</v>
      </c>
      <c r="FJM1" s="10">
        <v>285</v>
      </c>
      <c r="FJN1" s="10">
        <v>11</v>
      </c>
      <c r="FJO1" s="10">
        <v>34</v>
      </c>
      <c r="FJP1" s="10">
        <v>9</v>
      </c>
      <c r="FJQ1" s="10">
        <v>21</v>
      </c>
      <c r="FJR1" s="10">
        <v>6</v>
      </c>
      <c r="FJS1" s="10">
        <v>25</v>
      </c>
      <c r="FJT1" s="10">
        <v>16</v>
      </c>
      <c r="FJU1" s="10">
        <v>123</v>
      </c>
      <c r="FJV1" s="10">
        <v>47</v>
      </c>
      <c r="FJW1" s="10">
        <v>142</v>
      </c>
      <c r="FJX1" s="10">
        <v>474</v>
      </c>
      <c r="FJY1" s="135">
        <v>5661</v>
      </c>
      <c r="FJZ1" s="135">
        <v>6000</v>
      </c>
      <c r="FKA1" s="135">
        <v>153180</v>
      </c>
      <c r="FPS1" s="10">
        <v>21</v>
      </c>
      <c r="FPT1" s="10">
        <v>10</v>
      </c>
      <c r="FPU1" s="10">
        <v>1</v>
      </c>
      <c r="FPV1" s="10">
        <v>20</v>
      </c>
      <c r="FPW1" s="10">
        <v>20</v>
      </c>
      <c r="FPX1" s="10">
        <v>270</v>
      </c>
      <c r="FPZ1" s="10" t="s">
        <v>110</v>
      </c>
      <c r="FQA1" s="10" t="s">
        <v>57</v>
      </c>
      <c r="FQB1" s="10" t="s">
        <v>64</v>
      </c>
      <c r="FQC1" s="10" t="s">
        <v>65</v>
      </c>
      <c r="FQD1" s="10" t="s">
        <v>60</v>
      </c>
      <c r="FQE1" s="10">
        <v>1</v>
      </c>
      <c r="FQF1" s="135">
        <v>6852</v>
      </c>
      <c r="FQG1" s="10">
        <v>0</v>
      </c>
      <c r="FQH1" s="135">
        <v>6852</v>
      </c>
      <c r="FQI1" s="10">
        <v>404</v>
      </c>
      <c r="FQJ1" s="10">
        <v>0</v>
      </c>
      <c r="FQK1" s="135">
        <v>1142</v>
      </c>
      <c r="FQL1" s="135">
        <v>11421</v>
      </c>
      <c r="FQM1" s="10">
        <v>834</v>
      </c>
      <c r="FQN1" s="10">
        <v>218</v>
      </c>
      <c r="FQO1" s="10">
        <v>526.38</v>
      </c>
      <c r="FQP1" s="10">
        <v>145</v>
      </c>
      <c r="FQQ1" s="10">
        <v>619</v>
      </c>
      <c r="FQR1" s="10">
        <v>379</v>
      </c>
      <c r="FQS1" s="135">
        <v>3426</v>
      </c>
      <c r="FQT1" s="10">
        <v>274</v>
      </c>
      <c r="FQU1" s="10">
        <v>16</v>
      </c>
      <c r="FQV1" s="10">
        <v>33</v>
      </c>
      <c r="FQW1" s="10">
        <v>9</v>
      </c>
      <c r="FQX1" s="10">
        <v>21</v>
      </c>
      <c r="FQY1" s="10">
        <v>6</v>
      </c>
      <c r="FQZ1" s="10">
        <v>25</v>
      </c>
      <c r="FRA1" s="10">
        <v>15</v>
      </c>
      <c r="FRB1" s="10">
        <v>0</v>
      </c>
      <c r="FRC1" s="10">
        <v>46</v>
      </c>
      <c r="FRD1" s="10">
        <v>137</v>
      </c>
      <c r="FRE1" s="10">
        <v>457</v>
      </c>
      <c r="FRF1" s="135">
        <v>5429</v>
      </c>
      <c r="FRG1" s="135">
        <v>6000</v>
      </c>
      <c r="FRH1" s="135">
        <v>147150</v>
      </c>
      <c r="FWZ1" s="10">
        <v>22</v>
      </c>
      <c r="FXA1" s="10">
        <v>10</v>
      </c>
      <c r="FXB1" s="10">
        <v>1</v>
      </c>
      <c r="FXC1" s="10">
        <v>20</v>
      </c>
      <c r="FXD1" s="10">
        <v>21</v>
      </c>
      <c r="FXE1" s="10">
        <v>270</v>
      </c>
      <c r="FXG1" s="10" t="s">
        <v>318</v>
      </c>
      <c r="FXH1" s="10" t="s">
        <v>143</v>
      </c>
      <c r="FXI1" s="10" t="s">
        <v>284</v>
      </c>
      <c r="FXJ1" s="10" t="s">
        <v>179</v>
      </c>
      <c r="FXK1" s="10" t="s">
        <v>60</v>
      </c>
      <c r="FXL1" s="10">
        <v>1</v>
      </c>
      <c r="FXM1" s="135">
        <v>22186</v>
      </c>
      <c r="FXN1" s="10">
        <v>0</v>
      </c>
      <c r="FXO1" s="135">
        <v>22186</v>
      </c>
      <c r="FXP1" s="10">
        <v>202</v>
      </c>
      <c r="FXQ1" s="10">
        <v>0</v>
      </c>
      <c r="FXR1" s="135">
        <v>3698</v>
      </c>
      <c r="FXS1" s="135">
        <v>36977</v>
      </c>
      <c r="FXT1" s="135">
        <v>2575</v>
      </c>
      <c r="FXU1" s="10">
        <v>672</v>
      </c>
      <c r="FXV1" s="10">
        <v>1000.62</v>
      </c>
      <c r="FXW1" s="10">
        <v>448</v>
      </c>
      <c r="FXX1" s="135">
        <v>1465</v>
      </c>
      <c r="FXY1" s="10">
        <v>987</v>
      </c>
      <c r="FXZ1" s="135">
        <v>11093</v>
      </c>
      <c r="FYA1" s="10">
        <v>887</v>
      </c>
      <c r="FYB1" s="10">
        <v>8</v>
      </c>
      <c r="FYC1" s="10">
        <v>103</v>
      </c>
      <c r="FYD1" s="10">
        <v>27</v>
      </c>
      <c r="FYE1" s="10">
        <v>40</v>
      </c>
      <c r="FYF1" s="10">
        <v>18</v>
      </c>
      <c r="FYG1" s="10">
        <v>59</v>
      </c>
      <c r="FYH1" s="10">
        <v>39</v>
      </c>
      <c r="FYI1" s="10">
        <v>0</v>
      </c>
      <c r="FYJ1" s="10">
        <v>148</v>
      </c>
      <c r="FYK1" s="10">
        <v>444</v>
      </c>
      <c r="FYL1" s="135">
        <v>1479</v>
      </c>
      <c r="FYM1" s="135">
        <v>16247</v>
      </c>
      <c r="FYN1" s="10">
        <v>0</v>
      </c>
      <c r="FYO1" s="135">
        <v>422429</v>
      </c>
      <c r="GEG1" s="10">
        <v>23</v>
      </c>
      <c r="GEH1" s="10">
        <v>10</v>
      </c>
      <c r="GEI1" s="10">
        <v>1</v>
      </c>
      <c r="GEJ1" s="10">
        <v>20</v>
      </c>
      <c r="GEK1" s="10">
        <v>22</v>
      </c>
      <c r="GEL1" s="10">
        <v>270</v>
      </c>
      <c r="GEN1" s="10" t="s">
        <v>112</v>
      </c>
      <c r="GEO1" s="10" t="s">
        <v>57</v>
      </c>
      <c r="GEP1" s="10" t="s">
        <v>68</v>
      </c>
      <c r="GEQ1" s="10" t="s">
        <v>59</v>
      </c>
      <c r="GER1" s="10" t="s">
        <v>60</v>
      </c>
      <c r="GES1" s="10">
        <v>1</v>
      </c>
      <c r="GET1" s="135">
        <v>7116</v>
      </c>
      <c r="GEU1" s="10">
        <v>0</v>
      </c>
      <c r="GEV1" s="135">
        <v>7116</v>
      </c>
      <c r="GEW1" s="10">
        <v>336</v>
      </c>
      <c r="GEX1" s="10">
        <v>0</v>
      </c>
      <c r="GEY1" s="135">
        <v>1186</v>
      </c>
      <c r="GEZ1" s="135">
        <v>11860</v>
      </c>
      <c r="GFA1" s="10">
        <v>857</v>
      </c>
      <c r="GFB1" s="10">
        <v>224</v>
      </c>
      <c r="GFC1" s="10">
        <v>532.5</v>
      </c>
      <c r="GFD1" s="10">
        <v>149</v>
      </c>
      <c r="GFE1" s="10">
        <v>629</v>
      </c>
      <c r="GFF1" s="10">
        <v>389</v>
      </c>
      <c r="GFG1" s="135">
        <v>3558</v>
      </c>
      <c r="GFH1" s="10">
        <v>285</v>
      </c>
      <c r="GFI1" s="10">
        <v>13</v>
      </c>
      <c r="GFJ1" s="10">
        <v>34</v>
      </c>
      <c r="GFK1" s="10">
        <v>9</v>
      </c>
      <c r="GFL1" s="10">
        <v>21</v>
      </c>
      <c r="GFM1" s="10">
        <v>6</v>
      </c>
      <c r="GFN1" s="10">
        <v>25</v>
      </c>
      <c r="GFO1" s="10">
        <v>16</v>
      </c>
      <c r="GFP1" s="10">
        <v>0</v>
      </c>
      <c r="GFQ1" s="10">
        <v>47</v>
      </c>
      <c r="GFR1" s="10">
        <v>142</v>
      </c>
      <c r="GFS1" s="10">
        <v>474</v>
      </c>
      <c r="GFT1" s="135">
        <v>5576</v>
      </c>
      <c r="GFU1" s="135">
        <v>6000</v>
      </c>
      <c r="GFV1" s="135">
        <v>150971</v>
      </c>
      <c r="GLN1" s="10">
        <v>24</v>
      </c>
      <c r="GLO1" s="10">
        <v>10</v>
      </c>
      <c r="GLP1" s="10">
        <v>1</v>
      </c>
      <c r="GLQ1" s="10">
        <v>20</v>
      </c>
      <c r="GLR1" s="10">
        <v>23</v>
      </c>
      <c r="GLS1" s="10">
        <v>270</v>
      </c>
      <c r="GLU1" s="10" t="s">
        <v>114</v>
      </c>
      <c r="GLV1" s="10" t="s">
        <v>57</v>
      </c>
      <c r="GLW1" s="10" t="s">
        <v>58</v>
      </c>
      <c r="GLX1" s="10" t="s">
        <v>59</v>
      </c>
      <c r="GLY1" s="10" t="s">
        <v>60</v>
      </c>
      <c r="GLZ1" s="10">
        <v>1</v>
      </c>
      <c r="GMA1" s="135">
        <v>7713</v>
      </c>
      <c r="GMB1" s="10">
        <v>0</v>
      </c>
      <c r="GMC1" s="135">
        <v>7713</v>
      </c>
      <c r="GMD1" s="10">
        <v>336</v>
      </c>
      <c r="GME1" s="10">
        <v>0</v>
      </c>
      <c r="GMF1" s="135">
        <v>1286</v>
      </c>
      <c r="GMG1" s="135">
        <v>12855</v>
      </c>
      <c r="GMH1" s="10">
        <v>926</v>
      </c>
      <c r="GMI1" s="10">
        <v>241</v>
      </c>
      <c r="GMJ1" s="10">
        <v>554.52</v>
      </c>
      <c r="GMK1" s="10">
        <v>161</v>
      </c>
      <c r="GML1" s="10">
        <v>714</v>
      </c>
      <c r="GMM1" s="10">
        <v>490</v>
      </c>
      <c r="GMN1" s="135">
        <v>3857</v>
      </c>
      <c r="GMO1" s="10">
        <v>309</v>
      </c>
      <c r="GMP1" s="10">
        <v>13</v>
      </c>
      <c r="GMQ1" s="10">
        <v>37</v>
      </c>
      <c r="GMR1" s="10">
        <v>10</v>
      </c>
      <c r="GMS1" s="10">
        <v>22</v>
      </c>
      <c r="GMT1" s="10">
        <v>6</v>
      </c>
      <c r="GMU1" s="10">
        <v>29</v>
      </c>
      <c r="GMV1" s="10">
        <v>20</v>
      </c>
      <c r="GMW1" s="10">
        <v>0</v>
      </c>
      <c r="GMX1" s="10">
        <v>51</v>
      </c>
      <c r="GMY1" s="10">
        <v>154</v>
      </c>
      <c r="GMZ1" s="10">
        <v>514</v>
      </c>
      <c r="GNA1" s="135">
        <v>6065</v>
      </c>
      <c r="GNB1" s="135">
        <v>6000</v>
      </c>
      <c r="GNC1" s="135">
        <v>163696</v>
      </c>
      <c r="GSU1" s="10">
        <v>25</v>
      </c>
      <c r="GSV1" s="10">
        <v>10</v>
      </c>
      <c r="GSW1" s="10">
        <v>1</v>
      </c>
      <c r="GSX1" s="10">
        <v>20</v>
      </c>
      <c r="GSY1" s="10">
        <v>24</v>
      </c>
      <c r="GSZ1" s="10">
        <v>270</v>
      </c>
      <c r="GTB1" s="10" t="s">
        <v>116</v>
      </c>
      <c r="GTC1" s="10" t="s">
        <v>57</v>
      </c>
      <c r="GTD1" s="10" t="s">
        <v>79</v>
      </c>
      <c r="GTE1" s="10" t="s">
        <v>59</v>
      </c>
      <c r="GTF1" s="10" t="s">
        <v>60</v>
      </c>
      <c r="GTG1" s="10">
        <v>1</v>
      </c>
      <c r="GTH1" s="135">
        <v>8086</v>
      </c>
      <c r="GTI1" s="10">
        <v>0</v>
      </c>
      <c r="GTJ1" s="135">
        <v>8086</v>
      </c>
      <c r="GTK1" s="10">
        <v>336</v>
      </c>
      <c r="GTL1" s="10">
        <v>0</v>
      </c>
      <c r="GTM1" s="135">
        <v>1348</v>
      </c>
      <c r="GTN1" s="135">
        <v>13477</v>
      </c>
      <c r="GTO1" s="10">
        <v>969</v>
      </c>
      <c r="GTP1" s="10">
        <v>253</v>
      </c>
      <c r="GTQ1" s="10">
        <v>565.28</v>
      </c>
      <c r="GTR1" s="10">
        <v>168</v>
      </c>
      <c r="GTS1" s="10">
        <v>722</v>
      </c>
      <c r="GTT1" s="10">
        <v>500</v>
      </c>
      <c r="GTU1" s="135">
        <v>4043</v>
      </c>
      <c r="GTV1" s="10">
        <v>323</v>
      </c>
      <c r="GTW1" s="10">
        <v>13</v>
      </c>
      <c r="GTX1" s="10">
        <v>39</v>
      </c>
      <c r="GTY1" s="10">
        <v>10</v>
      </c>
      <c r="GTZ1" s="10">
        <v>23</v>
      </c>
      <c r="GUA1" s="10">
        <v>7</v>
      </c>
      <c r="GUB1" s="10">
        <v>29</v>
      </c>
      <c r="GUC1" s="10">
        <v>20</v>
      </c>
      <c r="GUD1" s="10">
        <v>0</v>
      </c>
      <c r="GUE1" s="10">
        <v>54</v>
      </c>
      <c r="GUF1" s="10">
        <v>162</v>
      </c>
      <c r="GUG1" s="10">
        <v>539</v>
      </c>
      <c r="GUH1" s="135">
        <v>6323</v>
      </c>
      <c r="GUI1" s="135">
        <v>6000</v>
      </c>
      <c r="GUJ1" s="135">
        <v>170387</v>
      </c>
      <c r="HAB1" s="10">
        <v>26</v>
      </c>
      <c r="HAC1" s="10">
        <v>10</v>
      </c>
      <c r="HAD1" s="10">
        <v>1</v>
      </c>
      <c r="HAE1" s="10">
        <v>20</v>
      </c>
      <c r="HAF1" s="10">
        <v>25</v>
      </c>
      <c r="HAG1" s="10">
        <v>270</v>
      </c>
      <c r="HAI1" s="10" t="s">
        <v>118</v>
      </c>
      <c r="HAJ1" s="10" t="s">
        <v>57</v>
      </c>
      <c r="HAK1" s="10" t="s">
        <v>120</v>
      </c>
      <c r="HAL1" s="10" t="s">
        <v>121</v>
      </c>
      <c r="HAM1" s="10" t="s">
        <v>74</v>
      </c>
      <c r="HAN1" s="10">
        <v>1</v>
      </c>
      <c r="HAO1" s="135">
        <v>10348</v>
      </c>
      <c r="HAP1" s="10">
        <v>0</v>
      </c>
      <c r="HAQ1" s="135">
        <v>10348</v>
      </c>
      <c r="HAR1" s="10">
        <v>471</v>
      </c>
      <c r="HAS1" s="135">
        <v>4484</v>
      </c>
      <c r="HAT1" s="135">
        <v>1725</v>
      </c>
      <c r="HAU1" s="135">
        <v>17246</v>
      </c>
      <c r="HAV1" s="135">
        <v>1244</v>
      </c>
      <c r="HAW1" s="10">
        <v>325</v>
      </c>
      <c r="HAX1" s="10">
        <v>633.79</v>
      </c>
      <c r="HAY1" s="10">
        <v>216</v>
      </c>
      <c r="HAZ1" s="10">
        <v>936</v>
      </c>
      <c r="HBA1" s="10">
        <v>650</v>
      </c>
      <c r="HBB1" s="135">
        <v>5174</v>
      </c>
      <c r="HBC1" s="10">
        <v>414</v>
      </c>
      <c r="HBD1" s="10">
        <v>19</v>
      </c>
      <c r="HBE1" s="10">
        <v>50</v>
      </c>
      <c r="HBF1" s="10">
        <v>13</v>
      </c>
      <c r="HBG1" s="10">
        <v>25</v>
      </c>
      <c r="HBH1" s="10">
        <v>9</v>
      </c>
      <c r="HBI1" s="10">
        <v>37</v>
      </c>
      <c r="HBJ1" s="10">
        <v>26</v>
      </c>
      <c r="HBK1" s="10">
        <v>179</v>
      </c>
      <c r="HBL1" s="10">
        <v>69</v>
      </c>
      <c r="HBM1" s="10">
        <v>207</v>
      </c>
      <c r="HBN1" s="10">
        <v>690</v>
      </c>
      <c r="HBO1" s="135">
        <v>8260</v>
      </c>
      <c r="HBP1" s="135">
        <v>6000</v>
      </c>
      <c r="HBQ1" s="135">
        <v>220771</v>
      </c>
      <c r="HHI1" s="10">
        <v>27</v>
      </c>
      <c r="HHJ1" s="10">
        <v>10</v>
      </c>
      <c r="HHK1" s="10">
        <v>1</v>
      </c>
      <c r="HHL1" s="10">
        <v>20</v>
      </c>
      <c r="HHM1" s="10">
        <v>26</v>
      </c>
      <c r="HHN1" s="10">
        <v>270</v>
      </c>
      <c r="HHP1" s="10" t="s">
        <v>122</v>
      </c>
      <c r="HHQ1" s="10" t="s">
        <v>57</v>
      </c>
      <c r="HHR1" s="10" t="s">
        <v>124</v>
      </c>
      <c r="HHS1" s="10" t="s">
        <v>125</v>
      </c>
      <c r="HHT1" s="10" t="s">
        <v>74</v>
      </c>
      <c r="HHU1" s="10">
        <v>1</v>
      </c>
      <c r="HHV1" s="135">
        <v>10823</v>
      </c>
      <c r="HHW1" s="10">
        <v>0</v>
      </c>
      <c r="HHX1" s="135">
        <v>10823</v>
      </c>
      <c r="HHY1" s="10">
        <v>336</v>
      </c>
      <c r="HHZ1" s="10">
        <v>0</v>
      </c>
      <c r="HIA1" s="135">
        <v>1804</v>
      </c>
      <c r="HIB1" s="135">
        <v>18038</v>
      </c>
      <c r="HIC1" s="135">
        <v>1283</v>
      </c>
      <c r="HID1" s="10">
        <v>335</v>
      </c>
      <c r="HIE1" s="10">
        <v>644.75</v>
      </c>
      <c r="HIF1" s="10">
        <v>223</v>
      </c>
      <c r="HIG1" s="10">
        <v>951</v>
      </c>
      <c r="HIH1" s="10">
        <v>665</v>
      </c>
      <c r="HII1" s="135">
        <v>5411</v>
      </c>
      <c r="HIJ1" s="10">
        <v>433</v>
      </c>
      <c r="HIK1" s="10">
        <v>13</v>
      </c>
      <c r="HIL1" s="10">
        <v>51</v>
      </c>
      <c r="HIM1" s="10">
        <v>13</v>
      </c>
      <c r="HIN1" s="10">
        <v>26</v>
      </c>
      <c r="HIO1" s="10">
        <v>9</v>
      </c>
      <c r="HIP1" s="10">
        <v>38</v>
      </c>
      <c r="HIQ1" s="10">
        <v>27</v>
      </c>
      <c r="HIR1" s="10">
        <v>0</v>
      </c>
      <c r="HIS1" s="10">
        <v>72</v>
      </c>
      <c r="HIT1" s="10">
        <v>216</v>
      </c>
      <c r="HIU1" s="10">
        <v>722</v>
      </c>
      <c r="HIV1" s="135">
        <v>8335</v>
      </c>
      <c r="HIW1" s="135">
        <v>6000</v>
      </c>
      <c r="HIX1" s="135">
        <v>222719</v>
      </c>
      <c r="HOP1" s="10">
        <v>28</v>
      </c>
      <c r="HOQ1" s="10">
        <v>10</v>
      </c>
      <c r="HOR1" s="10">
        <v>1</v>
      </c>
      <c r="HOS1" s="10">
        <v>20</v>
      </c>
      <c r="HOT1" s="10">
        <v>27</v>
      </c>
      <c r="HOU1" s="10">
        <v>270</v>
      </c>
      <c r="HOW1" s="10" t="s">
        <v>126</v>
      </c>
      <c r="HOX1" s="10" t="s">
        <v>57</v>
      </c>
      <c r="HOY1" s="10" t="s">
        <v>64</v>
      </c>
      <c r="HOZ1" s="10" t="s">
        <v>65</v>
      </c>
      <c r="HPA1" s="10" t="s">
        <v>74</v>
      </c>
      <c r="HPB1" s="10">
        <v>1</v>
      </c>
      <c r="HPC1" s="135">
        <v>6852</v>
      </c>
      <c r="HPD1" s="10">
        <v>0</v>
      </c>
      <c r="HPE1" s="135">
        <v>6852</v>
      </c>
      <c r="HPF1" s="10">
        <v>404</v>
      </c>
      <c r="HPG1" s="10">
        <v>0</v>
      </c>
      <c r="HPH1" s="135">
        <v>1142</v>
      </c>
      <c r="HPI1" s="135">
        <v>11421</v>
      </c>
      <c r="HPJ1" s="10">
        <v>834</v>
      </c>
      <c r="HPK1" s="10">
        <v>218</v>
      </c>
      <c r="HPL1" s="10">
        <v>526.38</v>
      </c>
      <c r="HPM1" s="10">
        <v>145</v>
      </c>
      <c r="HPN1" s="10">
        <v>619</v>
      </c>
      <c r="HPO1" s="10">
        <v>379</v>
      </c>
      <c r="HPP1" s="135">
        <v>3426</v>
      </c>
      <c r="HPQ1" s="10">
        <v>274</v>
      </c>
      <c r="HPR1" s="10">
        <v>16</v>
      </c>
      <c r="HPS1" s="10">
        <v>33</v>
      </c>
      <c r="HPT1" s="10">
        <v>9</v>
      </c>
      <c r="HPU1" s="10">
        <v>21</v>
      </c>
      <c r="HPV1" s="10">
        <v>6</v>
      </c>
      <c r="HPW1" s="10">
        <v>25</v>
      </c>
      <c r="HPX1" s="10">
        <v>15</v>
      </c>
      <c r="HPY1" s="10">
        <v>0</v>
      </c>
      <c r="HPZ1" s="10">
        <v>46</v>
      </c>
      <c r="HQA1" s="10">
        <v>137</v>
      </c>
      <c r="HQB1" s="10">
        <v>457</v>
      </c>
      <c r="HQC1" s="135">
        <v>5429</v>
      </c>
      <c r="HQD1" s="135">
        <v>6000</v>
      </c>
      <c r="HQE1" s="135">
        <v>147150</v>
      </c>
      <c r="HVW1" s="10">
        <v>29</v>
      </c>
      <c r="HVX1" s="10">
        <v>10</v>
      </c>
      <c r="HVY1" s="10">
        <v>1</v>
      </c>
      <c r="HVZ1" s="10">
        <v>20</v>
      </c>
      <c r="HWA1" s="10">
        <v>28</v>
      </c>
      <c r="HWB1" s="10">
        <v>270</v>
      </c>
      <c r="HWD1" s="10" t="s">
        <v>128</v>
      </c>
      <c r="HWE1" s="10" t="s">
        <v>57</v>
      </c>
      <c r="HWF1" s="10" t="s">
        <v>130</v>
      </c>
      <c r="HWG1" s="10" t="s">
        <v>73</v>
      </c>
      <c r="HWH1" s="10" t="s">
        <v>74</v>
      </c>
      <c r="HWI1" s="10">
        <v>1</v>
      </c>
      <c r="HWJ1" s="135">
        <v>9861</v>
      </c>
      <c r="HWK1" s="10">
        <v>0</v>
      </c>
      <c r="HWL1" s="135">
        <v>9861</v>
      </c>
      <c r="HWM1" s="10">
        <v>269</v>
      </c>
      <c r="HWN1" s="10">
        <v>0</v>
      </c>
      <c r="HWO1" s="135">
        <v>1644</v>
      </c>
      <c r="HWP1" s="135">
        <v>16435</v>
      </c>
      <c r="HWQ1" s="135">
        <v>1165</v>
      </c>
      <c r="HWR1" s="10">
        <v>304</v>
      </c>
      <c r="HWS1" s="10">
        <v>556.27</v>
      </c>
      <c r="HWT1" s="10">
        <v>203</v>
      </c>
      <c r="HWU1" s="10">
        <v>926</v>
      </c>
      <c r="HWV1" s="10">
        <v>578</v>
      </c>
      <c r="HWW1" s="135">
        <v>4931</v>
      </c>
      <c r="HWX1" s="10">
        <v>394</v>
      </c>
      <c r="HWY1" s="10">
        <v>11</v>
      </c>
      <c r="HWZ1" s="10">
        <v>47</v>
      </c>
      <c r="HXA1" s="10">
        <v>12</v>
      </c>
      <c r="HXB1" s="10">
        <v>22</v>
      </c>
      <c r="HXC1" s="10">
        <v>8</v>
      </c>
      <c r="HXD1" s="10">
        <v>37</v>
      </c>
      <c r="HXE1" s="10">
        <v>23</v>
      </c>
      <c r="HXF1" s="10">
        <v>0</v>
      </c>
      <c r="HXG1" s="10">
        <v>66</v>
      </c>
      <c r="HXH1" s="10">
        <v>197</v>
      </c>
      <c r="HXI1" s="10">
        <v>657</v>
      </c>
      <c r="HXJ1" s="135">
        <v>7574</v>
      </c>
      <c r="HXK1" s="135">
        <v>6000</v>
      </c>
      <c r="HXL1" s="135">
        <v>202926</v>
      </c>
      <c r="IDD1" s="10">
        <v>30</v>
      </c>
      <c r="IDE1" s="10">
        <v>10</v>
      </c>
      <c r="IDF1" s="10">
        <v>1</v>
      </c>
      <c r="IDG1" s="10">
        <v>20</v>
      </c>
      <c r="IDH1" s="10">
        <v>29</v>
      </c>
      <c r="IDI1" s="10">
        <v>270</v>
      </c>
      <c r="IDK1" s="10" t="s">
        <v>131</v>
      </c>
      <c r="IDL1" s="10" t="s">
        <v>57</v>
      </c>
      <c r="IDM1" s="10" t="s">
        <v>68</v>
      </c>
      <c r="IDN1" s="10" t="s">
        <v>59</v>
      </c>
      <c r="IDO1" s="10" t="s">
        <v>60</v>
      </c>
      <c r="IDP1" s="10">
        <v>1</v>
      </c>
      <c r="IDQ1" s="135">
        <v>7116</v>
      </c>
      <c r="IDR1" s="10">
        <v>0</v>
      </c>
      <c r="IDS1" s="135">
        <v>7116</v>
      </c>
      <c r="IDT1" s="10">
        <v>404</v>
      </c>
      <c r="IDU1" s="135">
        <v>3084</v>
      </c>
      <c r="IDV1" s="135">
        <v>1186</v>
      </c>
      <c r="IDW1" s="135">
        <v>11860</v>
      </c>
      <c r="IDX1" s="10">
        <v>865</v>
      </c>
      <c r="IDY1" s="10">
        <v>226</v>
      </c>
      <c r="IDZ1" s="10">
        <v>534.07000000000005</v>
      </c>
      <c r="IEA1" s="10">
        <v>150</v>
      </c>
      <c r="IEB1" s="10">
        <v>629</v>
      </c>
      <c r="IEC1" s="10">
        <v>389</v>
      </c>
      <c r="IED1" s="135">
        <v>3558</v>
      </c>
      <c r="IEE1" s="10">
        <v>285</v>
      </c>
      <c r="IEF1" s="10">
        <v>16</v>
      </c>
      <c r="IEG1" s="10">
        <v>35</v>
      </c>
      <c r="IEH1" s="10">
        <v>9</v>
      </c>
      <c r="IEI1" s="10">
        <v>21</v>
      </c>
      <c r="IEJ1" s="10">
        <v>6</v>
      </c>
      <c r="IEK1" s="10">
        <v>25</v>
      </c>
      <c r="IEL1" s="10">
        <v>16</v>
      </c>
      <c r="IEM1" s="10">
        <v>123</v>
      </c>
      <c r="IEN1" s="10">
        <v>47</v>
      </c>
      <c r="IEO1" s="10">
        <v>142</v>
      </c>
      <c r="IEP1" s="10">
        <v>474</v>
      </c>
      <c r="IEQ1" s="135">
        <v>5738</v>
      </c>
      <c r="IER1" s="135">
        <v>6000</v>
      </c>
      <c r="IES1" s="135">
        <v>155176</v>
      </c>
      <c r="IKK1" s="10">
        <v>31</v>
      </c>
      <c r="IKL1" s="10">
        <v>10</v>
      </c>
      <c r="IKM1" s="10">
        <v>1</v>
      </c>
      <c r="IKN1" s="10">
        <v>20</v>
      </c>
      <c r="IKO1" s="10">
        <v>30</v>
      </c>
      <c r="IKP1" s="10">
        <v>270</v>
      </c>
      <c r="IKR1" s="10" t="s">
        <v>133</v>
      </c>
      <c r="IKS1" s="10" t="s">
        <v>57</v>
      </c>
      <c r="IKT1" s="10" t="s">
        <v>68</v>
      </c>
      <c r="IKU1" s="10" t="s">
        <v>59</v>
      </c>
      <c r="IKV1" s="10" t="s">
        <v>60</v>
      </c>
      <c r="IKW1" s="10">
        <v>1</v>
      </c>
      <c r="IKX1" s="135">
        <v>7116</v>
      </c>
      <c r="IKY1" s="10">
        <v>0</v>
      </c>
      <c r="IKZ1" s="135">
        <v>7116</v>
      </c>
      <c r="ILA1" s="10">
        <v>269</v>
      </c>
      <c r="ILB1" s="135">
        <v>3084</v>
      </c>
      <c r="ILC1" s="135">
        <v>1186</v>
      </c>
      <c r="ILD1" s="135">
        <v>11860</v>
      </c>
      <c r="ILE1" s="10">
        <v>849</v>
      </c>
      <c r="ILF1" s="10">
        <v>222</v>
      </c>
      <c r="ILG1" s="10">
        <v>530.91999999999996</v>
      </c>
      <c r="ILH1" s="10">
        <v>148</v>
      </c>
      <c r="ILI1" s="10">
        <v>629</v>
      </c>
      <c r="ILJ1" s="10">
        <v>389</v>
      </c>
      <c r="ILK1" s="135">
        <v>3558</v>
      </c>
      <c r="ILL1" s="10">
        <v>285</v>
      </c>
      <c r="ILM1" s="10">
        <v>11</v>
      </c>
      <c r="ILN1" s="10">
        <v>34</v>
      </c>
      <c r="ILO1" s="10">
        <v>9</v>
      </c>
      <c r="ILP1" s="10">
        <v>21</v>
      </c>
      <c r="ILQ1" s="10">
        <v>6</v>
      </c>
      <c r="ILR1" s="10">
        <v>25</v>
      </c>
      <c r="ILS1" s="10">
        <v>16</v>
      </c>
      <c r="ILT1" s="10">
        <v>123</v>
      </c>
      <c r="ILU1" s="10">
        <v>47</v>
      </c>
      <c r="ILV1" s="10">
        <v>142</v>
      </c>
      <c r="ILW1" s="10">
        <v>474</v>
      </c>
      <c r="ILX1" s="135">
        <v>5661</v>
      </c>
      <c r="ILY1" s="135">
        <v>6000</v>
      </c>
      <c r="ILZ1" s="135">
        <v>153179</v>
      </c>
      <c r="IRR1" s="10">
        <v>32</v>
      </c>
      <c r="IRS1" s="10">
        <v>10</v>
      </c>
      <c r="IRT1" s="10">
        <v>1</v>
      </c>
      <c r="IRU1" s="10">
        <v>20</v>
      </c>
      <c r="IRV1" s="10">
        <v>31</v>
      </c>
      <c r="IRW1" s="10">
        <v>270</v>
      </c>
      <c r="IRY1" s="10" t="s">
        <v>135</v>
      </c>
      <c r="IRZ1" s="10" t="s">
        <v>57</v>
      </c>
      <c r="ISA1" s="10" t="s">
        <v>137</v>
      </c>
      <c r="ISB1" s="10" t="s">
        <v>74</v>
      </c>
      <c r="ISC1" s="10" t="s">
        <v>74</v>
      </c>
      <c r="ISD1" s="10">
        <v>1</v>
      </c>
      <c r="ISE1" s="135">
        <v>8953</v>
      </c>
      <c r="ISF1" s="10">
        <v>0</v>
      </c>
      <c r="ISG1" s="135">
        <v>8953</v>
      </c>
      <c r="ISH1" s="10">
        <v>269</v>
      </c>
      <c r="ISI1" s="10">
        <v>0</v>
      </c>
      <c r="ISJ1" s="135">
        <v>1492</v>
      </c>
      <c r="ISK1" s="135">
        <v>14922</v>
      </c>
      <c r="ISL1" s="135">
        <v>1061</v>
      </c>
      <c r="ISM1" s="10">
        <v>277</v>
      </c>
      <c r="ISN1" s="10">
        <v>591.48</v>
      </c>
      <c r="ISO1" s="10">
        <v>184</v>
      </c>
      <c r="ISP1" s="10">
        <v>746</v>
      </c>
      <c r="ISQ1" s="10">
        <v>524</v>
      </c>
      <c r="ISR1" s="135">
        <v>4477</v>
      </c>
      <c r="ISS1" s="10">
        <v>358</v>
      </c>
      <c r="IST1" s="10">
        <v>11</v>
      </c>
      <c r="ISU1" s="10">
        <v>42</v>
      </c>
      <c r="ISV1" s="10">
        <v>11</v>
      </c>
      <c r="ISW1" s="10">
        <v>24</v>
      </c>
      <c r="ISX1" s="10">
        <v>7</v>
      </c>
      <c r="ISY1" s="10">
        <v>30</v>
      </c>
      <c r="ISZ1" s="10">
        <v>21</v>
      </c>
      <c r="ITA1" s="10">
        <v>0</v>
      </c>
      <c r="ITB1" s="10">
        <v>60</v>
      </c>
      <c r="ITC1" s="10">
        <v>179</v>
      </c>
      <c r="ITD1" s="10">
        <v>597</v>
      </c>
      <c r="ITE1" s="135">
        <v>6886</v>
      </c>
      <c r="ITF1" s="135">
        <v>6000</v>
      </c>
      <c r="ITG1" s="135">
        <v>185043</v>
      </c>
      <c r="IYY1" s="10">
        <v>33</v>
      </c>
      <c r="IYZ1" s="10">
        <v>10</v>
      </c>
      <c r="IZA1" s="10">
        <v>1</v>
      </c>
      <c r="IZB1" s="10">
        <v>20</v>
      </c>
      <c r="IZC1" s="10">
        <v>32</v>
      </c>
      <c r="IZD1" s="10">
        <v>270</v>
      </c>
      <c r="IZF1" s="10" t="s">
        <v>138</v>
      </c>
      <c r="IZG1" s="10" t="s">
        <v>57</v>
      </c>
      <c r="IZH1" s="10" t="s">
        <v>140</v>
      </c>
      <c r="IZI1" s="10" t="s">
        <v>74</v>
      </c>
      <c r="IZJ1" s="10" t="s">
        <v>74</v>
      </c>
      <c r="IZK1" s="10">
        <v>1</v>
      </c>
      <c r="IZL1" s="135">
        <v>11504</v>
      </c>
      <c r="IZM1" s="10">
        <v>0</v>
      </c>
      <c r="IZN1" s="135">
        <v>11504</v>
      </c>
      <c r="IZO1" s="10">
        <v>404</v>
      </c>
      <c r="IZP1" s="10">
        <v>0</v>
      </c>
      <c r="IZQ1" s="135">
        <v>1917</v>
      </c>
      <c r="IZR1" s="135">
        <v>19173</v>
      </c>
      <c r="IZS1" s="135">
        <v>1369</v>
      </c>
      <c r="IZT1" s="10">
        <v>357</v>
      </c>
      <c r="IZU1" s="10">
        <v>666.28</v>
      </c>
      <c r="IZV1" s="10">
        <v>238</v>
      </c>
      <c r="IZW1" s="10">
        <v>967</v>
      </c>
      <c r="IZX1" s="10">
        <v>681</v>
      </c>
      <c r="IZY1" s="135">
        <v>5752</v>
      </c>
      <c r="IZZ1" s="10">
        <v>460</v>
      </c>
      <c r="JAA1" s="10">
        <v>16</v>
      </c>
      <c r="JAB1" s="10">
        <v>55</v>
      </c>
      <c r="JAC1" s="10">
        <v>14</v>
      </c>
      <c r="JAD1" s="10">
        <v>27</v>
      </c>
      <c r="JAE1" s="10">
        <v>10</v>
      </c>
      <c r="JAF1" s="10">
        <v>39</v>
      </c>
      <c r="JAG1" s="10">
        <v>27</v>
      </c>
      <c r="JAH1" s="10">
        <v>0</v>
      </c>
      <c r="JAI1" s="10">
        <v>77</v>
      </c>
      <c r="JAJ1" s="10">
        <v>230</v>
      </c>
      <c r="JAK1" s="10">
        <v>767</v>
      </c>
      <c r="JAL1" s="135">
        <v>8843</v>
      </c>
      <c r="JAM1" s="135">
        <v>6000</v>
      </c>
      <c r="JAN1" s="135">
        <v>235919</v>
      </c>
      <c r="JGF1" s="10">
        <v>34</v>
      </c>
      <c r="JGG1" s="10">
        <v>10</v>
      </c>
      <c r="JGH1" s="10">
        <v>1</v>
      </c>
      <c r="JGI1" s="10">
        <v>20</v>
      </c>
      <c r="JGJ1" s="10">
        <v>34</v>
      </c>
      <c r="JGK1" s="10">
        <v>270</v>
      </c>
      <c r="JGM1" s="10" t="s">
        <v>141</v>
      </c>
      <c r="JGN1" s="10" t="s">
        <v>143</v>
      </c>
      <c r="JGO1" s="10" t="s">
        <v>144</v>
      </c>
      <c r="JGP1" s="10" t="s">
        <v>145</v>
      </c>
      <c r="JGQ1" s="10" t="s">
        <v>74</v>
      </c>
      <c r="JGR1" s="10">
        <v>1</v>
      </c>
      <c r="JGS1" s="135">
        <v>15425</v>
      </c>
      <c r="JGT1" s="10">
        <v>0</v>
      </c>
      <c r="JGU1" s="135">
        <v>15425</v>
      </c>
      <c r="JGV1" s="10">
        <v>202</v>
      </c>
      <c r="JGW1" s="10">
        <v>0</v>
      </c>
      <c r="JGX1" s="135">
        <v>2571</v>
      </c>
      <c r="JGY1" s="135">
        <v>25709</v>
      </c>
      <c r="JGZ1" s="135">
        <v>1797</v>
      </c>
      <c r="JHA1" s="10">
        <v>469</v>
      </c>
      <c r="JHB1" s="10">
        <v>789.89</v>
      </c>
      <c r="JHC1" s="10">
        <v>313</v>
      </c>
      <c r="JHD1" s="135">
        <v>1206</v>
      </c>
      <c r="JHE1" s="10">
        <v>755</v>
      </c>
      <c r="JHF1" s="135">
        <v>7713</v>
      </c>
      <c r="JHG1" s="10">
        <v>617</v>
      </c>
      <c r="JHH1" s="10">
        <v>8</v>
      </c>
      <c r="JHI1" s="10">
        <v>72</v>
      </c>
      <c r="JHJ1" s="10">
        <v>19</v>
      </c>
      <c r="JHK1" s="10">
        <v>32</v>
      </c>
      <c r="JHL1" s="10">
        <v>13</v>
      </c>
      <c r="JHM1" s="10">
        <v>48</v>
      </c>
      <c r="JHN1" s="10">
        <v>30</v>
      </c>
      <c r="JHO1" s="10">
        <v>0</v>
      </c>
      <c r="JHP1" s="10">
        <v>103</v>
      </c>
      <c r="JHQ1" s="10">
        <v>309</v>
      </c>
      <c r="JHR1" s="135">
        <v>1028</v>
      </c>
      <c r="JHS1" s="135">
        <v>11499</v>
      </c>
      <c r="JHT1" s="10">
        <v>0</v>
      </c>
      <c r="JHU1" s="135">
        <v>298966</v>
      </c>
      <c r="JNM1" s="10">
        <v>35</v>
      </c>
      <c r="JNN1" s="10">
        <v>10</v>
      </c>
      <c r="JNO1" s="10">
        <v>1</v>
      </c>
      <c r="JNP1" s="10">
        <v>20</v>
      </c>
      <c r="JNQ1" s="10">
        <v>35</v>
      </c>
      <c r="JNR1" s="10">
        <v>270</v>
      </c>
      <c r="JNT1" s="10" t="s">
        <v>146</v>
      </c>
      <c r="JNU1" s="10" t="s">
        <v>57</v>
      </c>
      <c r="JNV1" s="10" t="s">
        <v>68</v>
      </c>
      <c r="JNW1" s="10" t="s">
        <v>59</v>
      </c>
      <c r="JNX1" s="10" t="s">
        <v>60</v>
      </c>
      <c r="JNY1" s="10">
        <v>1</v>
      </c>
      <c r="JNZ1" s="135">
        <v>9038</v>
      </c>
      <c r="JOA1" s="10">
        <v>0</v>
      </c>
      <c r="JOB1" s="135">
        <v>9038</v>
      </c>
      <c r="JOC1" s="10">
        <v>336</v>
      </c>
      <c r="JOD1" s="10">
        <v>0</v>
      </c>
      <c r="JOE1" s="135">
        <v>1506</v>
      </c>
      <c r="JOF1" s="135">
        <v>15064</v>
      </c>
      <c r="JOG1" s="135">
        <v>1078</v>
      </c>
      <c r="JOH1" s="10">
        <v>281</v>
      </c>
      <c r="JOI1" s="10">
        <v>583.73</v>
      </c>
      <c r="JOJ1" s="10">
        <v>187</v>
      </c>
      <c r="JOK1" s="10">
        <v>812</v>
      </c>
      <c r="JOL1" s="10">
        <v>502</v>
      </c>
      <c r="JOM1" s="135">
        <v>4519</v>
      </c>
      <c r="JON1" s="10">
        <v>362</v>
      </c>
      <c r="JOO1" s="10">
        <v>13</v>
      </c>
      <c r="JOP1" s="10">
        <v>43</v>
      </c>
      <c r="JOQ1" s="10">
        <v>11</v>
      </c>
      <c r="JOR1" s="10">
        <v>23</v>
      </c>
      <c r="JOS1" s="10">
        <v>7</v>
      </c>
      <c r="JOT1" s="10">
        <v>32</v>
      </c>
      <c r="JOU1" s="10">
        <v>20</v>
      </c>
      <c r="JOV1" s="10">
        <v>0</v>
      </c>
      <c r="JOW1" s="10">
        <v>60</v>
      </c>
      <c r="JOX1" s="10">
        <v>181</v>
      </c>
      <c r="JOY1" s="10">
        <v>603</v>
      </c>
      <c r="JOZ1" s="135">
        <v>6997</v>
      </c>
      <c r="JPA1" s="135">
        <v>6000</v>
      </c>
      <c r="JPB1" s="135">
        <v>187915</v>
      </c>
      <c r="JUT1" s="10">
        <v>36</v>
      </c>
      <c r="JUU1" s="10">
        <v>10</v>
      </c>
      <c r="JUV1" s="10">
        <v>1</v>
      </c>
      <c r="JUW1" s="10">
        <v>20</v>
      </c>
      <c r="JUX1" s="10">
        <v>36</v>
      </c>
      <c r="JUY1" s="10">
        <v>270</v>
      </c>
      <c r="JVA1" s="10" t="s">
        <v>148</v>
      </c>
      <c r="JVB1" s="10" t="s">
        <v>57</v>
      </c>
      <c r="JVC1" s="10" t="s">
        <v>150</v>
      </c>
      <c r="JVD1" s="10" t="s">
        <v>102</v>
      </c>
      <c r="JVE1" s="10" t="s">
        <v>74</v>
      </c>
      <c r="JVF1" s="10">
        <v>1</v>
      </c>
      <c r="JVG1" s="135">
        <v>10823</v>
      </c>
      <c r="JVH1" s="10">
        <v>0</v>
      </c>
      <c r="JVI1" s="135">
        <v>10823</v>
      </c>
      <c r="JVJ1" s="10">
        <v>336</v>
      </c>
      <c r="JVK1" s="10">
        <v>0</v>
      </c>
      <c r="JVL1" s="135">
        <v>1804</v>
      </c>
      <c r="JVM1" s="135">
        <v>18038</v>
      </c>
      <c r="JVN1" s="135">
        <v>1283</v>
      </c>
      <c r="JVO1" s="10">
        <v>335</v>
      </c>
      <c r="JVP1" s="10">
        <v>644.75</v>
      </c>
      <c r="JVQ1" s="10">
        <v>223</v>
      </c>
      <c r="JVR1" s="10">
        <v>951</v>
      </c>
      <c r="JVS1" s="10">
        <v>665</v>
      </c>
      <c r="JVT1" s="135">
        <v>5411</v>
      </c>
      <c r="JVU1" s="10">
        <v>433</v>
      </c>
      <c r="JVV1" s="10">
        <v>13</v>
      </c>
      <c r="JVW1" s="10">
        <v>51</v>
      </c>
      <c r="JVX1" s="10">
        <v>13</v>
      </c>
      <c r="JVY1" s="10">
        <v>26</v>
      </c>
      <c r="JVZ1" s="10">
        <v>9</v>
      </c>
      <c r="JWA1" s="10">
        <v>38</v>
      </c>
      <c r="JWB1" s="10">
        <v>27</v>
      </c>
      <c r="JWC1" s="10">
        <v>0</v>
      </c>
      <c r="JWD1" s="10">
        <v>72</v>
      </c>
      <c r="JWE1" s="10">
        <v>216</v>
      </c>
      <c r="JWF1" s="10">
        <v>722</v>
      </c>
      <c r="JWG1" s="135">
        <v>8335</v>
      </c>
      <c r="JWH1" s="135">
        <v>6000</v>
      </c>
      <c r="JWI1" s="135">
        <v>222719</v>
      </c>
      <c r="KCA1" s="10">
        <v>37</v>
      </c>
      <c r="KCB1" s="10">
        <v>10</v>
      </c>
      <c r="KCC1" s="10">
        <v>1</v>
      </c>
      <c r="KCD1" s="10">
        <v>20</v>
      </c>
      <c r="KCE1" s="10">
        <v>37</v>
      </c>
      <c r="KCF1" s="10">
        <v>270</v>
      </c>
      <c r="KCH1" s="10" t="s">
        <v>152</v>
      </c>
      <c r="KCI1" s="10" t="s">
        <v>57</v>
      </c>
      <c r="KCJ1" s="10" t="s">
        <v>130</v>
      </c>
      <c r="KCK1" s="10" t="s">
        <v>125</v>
      </c>
      <c r="KCL1" s="10" t="s">
        <v>74</v>
      </c>
      <c r="KCM1" s="10">
        <v>1</v>
      </c>
      <c r="KCN1" s="135">
        <v>9861</v>
      </c>
      <c r="KCO1" s="10">
        <v>0</v>
      </c>
      <c r="KCP1" s="135">
        <v>9861</v>
      </c>
      <c r="KCQ1" s="10">
        <v>336</v>
      </c>
      <c r="KCR1" s="10">
        <v>0</v>
      </c>
      <c r="KCS1" s="135">
        <v>1644</v>
      </c>
      <c r="KCT1" s="135">
        <v>16435</v>
      </c>
      <c r="KCU1" s="135">
        <v>1173</v>
      </c>
      <c r="KCV1" s="10">
        <v>306</v>
      </c>
      <c r="KCW1" s="10">
        <v>619.70000000000005</v>
      </c>
      <c r="KCX1" s="10">
        <v>204</v>
      </c>
      <c r="KCY1" s="10">
        <v>926</v>
      </c>
      <c r="KCZ1" s="10">
        <v>578</v>
      </c>
      <c r="KDA1" s="135">
        <v>4931</v>
      </c>
      <c r="KDB1" s="10">
        <v>394</v>
      </c>
      <c r="KDC1" s="10">
        <v>13</v>
      </c>
      <c r="KDD1" s="10">
        <v>47</v>
      </c>
      <c r="KDE1" s="10">
        <v>12</v>
      </c>
      <c r="KDF1" s="10">
        <v>25</v>
      </c>
      <c r="KDG1" s="10">
        <v>8</v>
      </c>
      <c r="KDH1" s="10">
        <v>37</v>
      </c>
      <c r="KDI1" s="10">
        <v>23</v>
      </c>
      <c r="KDJ1" s="10">
        <v>0</v>
      </c>
      <c r="KDK1" s="10">
        <v>66</v>
      </c>
      <c r="KDL1" s="10">
        <v>197</v>
      </c>
      <c r="KDM1" s="10">
        <v>657</v>
      </c>
      <c r="KDN1" s="135">
        <v>7642</v>
      </c>
      <c r="KDO1" s="135">
        <v>6000</v>
      </c>
      <c r="KDP1" s="135">
        <v>204696</v>
      </c>
      <c r="KJH1" s="10">
        <v>38</v>
      </c>
      <c r="KJI1" s="10">
        <v>10</v>
      </c>
      <c r="KJJ1" s="10">
        <v>1</v>
      </c>
      <c r="KJK1" s="10">
        <v>20</v>
      </c>
      <c r="KJL1" s="10">
        <v>38</v>
      </c>
      <c r="KJM1" s="10">
        <v>270</v>
      </c>
      <c r="KJO1" s="10" t="s">
        <v>154</v>
      </c>
      <c r="KJP1" s="10" t="s">
        <v>57</v>
      </c>
      <c r="KJQ1" s="10" t="s">
        <v>64</v>
      </c>
      <c r="KJR1" s="10" t="s">
        <v>65</v>
      </c>
      <c r="KJS1" s="10" t="s">
        <v>60</v>
      </c>
      <c r="KJT1" s="10">
        <v>1</v>
      </c>
      <c r="KJU1" s="135">
        <v>6852</v>
      </c>
      <c r="KJV1" s="10">
        <v>0</v>
      </c>
      <c r="KJW1" s="135">
        <v>6852</v>
      </c>
      <c r="KJX1" s="10">
        <v>269</v>
      </c>
      <c r="KJY1" s="10">
        <v>0</v>
      </c>
      <c r="KJZ1" s="135">
        <v>1142</v>
      </c>
      <c r="KKA1" s="135">
        <v>11421</v>
      </c>
      <c r="KKB1" s="10">
        <v>819</v>
      </c>
      <c r="KKC1" s="10">
        <v>214</v>
      </c>
      <c r="KKD1" s="10">
        <v>523.24</v>
      </c>
      <c r="KKE1" s="10">
        <v>142</v>
      </c>
      <c r="KKF1" s="10">
        <v>619</v>
      </c>
      <c r="KKG1" s="10">
        <v>379</v>
      </c>
      <c r="KKH1" s="135">
        <v>3426</v>
      </c>
      <c r="KKI1" s="10">
        <v>274</v>
      </c>
      <c r="KKJ1" s="10">
        <v>11</v>
      </c>
      <c r="KKK1" s="10">
        <v>33</v>
      </c>
      <c r="KKL1" s="10">
        <v>9</v>
      </c>
      <c r="KKM1" s="10">
        <v>21</v>
      </c>
      <c r="KKN1" s="10">
        <v>6</v>
      </c>
      <c r="KKO1" s="10">
        <v>25</v>
      </c>
      <c r="KKP1" s="10">
        <v>15</v>
      </c>
      <c r="KKQ1" s="10">
        <v>0</v>
      </c>
      <c r="KKR1" s="10">
        <v>46</v>
      </c>
      <c r="KKS1" s="10">
        <v>137</v>
      </c>
      <c r="KKT1" s="10">
        <v>457</v>
      </c>
      <c r="KKU1" s="135">
        <v>5352</v>
      </c>
      <c r="KKV1" s="135">
        <v>6000</v>
      </c>
      <c r="KKW1" s="135">
        <v>145154</v>
      </c>
      <c r="KQO1" s="10">
        <v>39</v>
      </c>
      <c r="KQP1" s="10">
        <v>10</v>
      </c>
      <c r="KQQ1" s="10">
        <v>1</v>
      </c>
      <c r="KQR1" s="10">
        <v>20</v>
      </c>
      <c r="KQS1" s="10">
        <v>39</v>
      </c>
      <c r="KQT1" s="10">
        <v>270</v>
      </c>
      <c r="KQV1" s="10" t="s">
        <v>156</v>
      </c>
      <c r="KQW1" s="10" t="s">
        <v>57</v>
      </c>
      <c r="KQX1" s="10" t="s">
        <v>58</v>
      </c>
      <c r="KQY1" s="10" t="s">
        <v>158</v>
      </c>
      <c r="KQZ1" s="10" t="s">
        <v>60</v>
      </c>
      <c r="KRA1" s="10">
        <v>1</v>
      </c>
      <c r="KRB1" s="135">
        <v>7713</v>
      </c>
      <c r="KRC1" s="10">
        <v>0</v>
      </c>
      <c r="KRD1" s="135">
        <v>7713</v>
      </c>
      <c r="KRE1" s="10">
        <v>269</v>
      </c>
      <c r="KRF1" s="10">
        <v>0</v>
      </c>
      <c r="KRG1" s="135">
        <v>1286</v>
      </c>
      <c r="KRH1" s="135">
        <v>12855</v>
      </c>
      <c r="KRI1" s="10">
        <v>918</v>
      </c>
      <c r="KRJ1" s="10">
        <v>239</v>
      </c>
      <c r="KRK1" s="10">
        <v>552.95000000000005</v>
      </c>
      <c r="KRL1" s="10">
        <v>160</v>
      </c>
      <c r="KRM1" s="10">
        <v>714</v>
      </c>
      <c r="KRN1" s="10">
        <v>490</v>
      </c>
      <c r="KRO1" s="135">
        <v>3857</v>
      </c>
      <c r="KRP1" s="10">
        <v>309</v>
      </c>
      <c r="KRQ1" s="10">
        <v>11</v>
      </c>
      <c r="KRR1" s="10">
        <v>37</v>
      </c>
      <c r="KRS1" s="10">
        <v>10</v>
      </c>
      <c r="KRT1" s="10">
        <v>22</v>
      </c>
      <c r="KRU1" s="10">
        <v>6</v>
      </c>
      <c r="KRV1" s="10">
        <v>29</v>
      </c>
      <c r="KRW1" s="10">
        <v>20</v>
      </c>
      <c r="KRX1" s="10">
        <v>0</v>
      </c>
      <c r="KRY1" s="10">
        <v>51</v>
      </c>
      <c r="KRZ1" s="10">
        <v>154</v>
      </c>
      <c r="KSA1" s="10">
        <v>514</v>
      </c>
      <c r="KSB1" s="135">
        <v>6027</v>
      </c>
      <c r="KSC1" s="135">
        <v>6000</v>
      </c>
      <c r="KSD1" s="135">
        <v>162698</v>
      </c>
      <c r="KXV1" s="10">
        <v>40</v>
      </c>
      <c r="KXW1" s="10">
        <v>10</v>
      </c>
      <c r="KXX1" s="10">
        <v>1</v>
      </c>
      <c r="KXY1" s="10">
        <v>20</v>
      </c>
      <c r="KXZ1" s="10">
        <v>40</v>
      </c>
      <c r="KYA1" s="10">
        <v>270</v>
      </c>
      <c r="KYC1" s="10" t="s">
        <v>159</v>
      </c>
      <c r="KYD1" s="10" t="s">
        <v>57</v>
      </c>
      <c r="KYE1" s="10" t="s">
        <v>64</v>
      </c>
      <c r="KYF1" s="10" t="s">
        <v>65</v>
      </c>
      <c r="KYG1" s="10" t="s">
        <v>60</v>
      </c>
      <c r="KYH1" s="10">
        <v>1</v>
      </c>
      <c r="KYI1" s="135">
        <v>6852</v>
      </c>
      <c r="KYJ1" s="10">
        <v>0</v>
      </c>
      <c r="KYK1" s="135">
        <v>6852</v>
      </c>
      <c r="KYL1" s="10">
        <v>0</v>
      </c>
      <c r="KYM1" s="135">
        <v>2969</v>
      </c>
      <c r="KYN1" s="135">
        <v>1142</v>
      </c>
      <c r="KYO1" s="135">
        <v>11420</v>
      </c>
      <c r="KYP1" s="10">
        <v>788</v>
      </c>
      <c r="KYQ1" s="10">
        <v>206</v>
      </c>
      <c r="KYR1" s="10">
        <v>516.96</v>
      </c>
      <c r="KYS1" s="10">
        <v>137</v>
      </c>
      <c r="KYT1" s="10">
        <v>619</v>
      </c>
      <c r="KYU1" s="10">
        <v>379</v>
      </c>
      <c r="KYV1" s="135">
        <v>3426</v>
      </c>
      <c r="KYW1" s="10">
        <v>274</v>
      </c>
      <c r="KYX1" s="10">
        <v>0</v>
      </c>
      <c r="KYY1" s="10">
        <v>32</v>
      </c>
      <c r="KYZ1" s="10">
        <v>8</v>
      </c>
      <c r="KZA1" s="10">
        <v>21</v>
      </c>
      <c r="KZB1" s="10">
        <v>5</v>
      </c>
      <c r="KZC1" s="10">
        <v>25</v>
      </c>
      <c r="KZD1" s="10">
        <v>15</v>
      </c>
      <c r="KZE1" s="10">
        <v>119</v>
      </c>
      <c r="KZF1" s="10">
        <v>46</v>
      </c>
      <c r="KZG1" s="10">
        <v>137</v>
      </c>
      <c r="KZH1" s="10">
        <v>457</v>
      </c>
      <c r="KZI1" s="135">
        <v>5317</v>
      </c>
      <c r="KZJ1" s="135">
        <v>6000</v>
      </c>
      <c r="KZK1" s="135">
        <v>144245</v>
      </c>
      <c r="LFC1" s="10">
        <v>41</v>
      </c>
      <c r="LFD1" s="10">
        <v>10</v>
      </c>
      <c r="LFE1" s="10">
        <v>1</v>
      </c>
      <c r="LFF1" s="10">
        <v>20</v>
      </c>
      <c r="LFG1" s="10">
        <v>41</v>
      </c>
      <c r="LFH1" s="10">
        <v>270</v>
      </c>
      <c r="LFJ1" s="10" t="s">
        <v>161</v>
      </c>
      <c r="LFK1" s="10" t="s">
        <v>57</v>
      </c>
      <c r="LFL1" s="10" t="s">
        <v>64</v>
      </c>
      <c r="LFM1" s="10" t="s">
        <v>85</v>
      </c>
      <c r="LFN1" s="10" t="s">
        <v>60</v>
      </c>
      <c r="LFO1" s="10">
        <v>1</v>
      </c>
      <c r="LFP1" s="135">
        <v>6852</v>
      </c>
      <c r="LFQ1" s="10">
        <v>0</v>
      </c>
      <c r="LFR1" s="135">
        <v>6852</v>
      </c>
      <c r="LFS1" s="10">
        <v>0</v>
      </c>
      <c r="LFT1" s="10">
        <v>0</v>
      </c>
      <c r="LFU1" s="135">
        <v>1142</v>
      </c>
      <c r="LFV1" s="135">
        <v>11420</v>
      </c>
      <c r="LFW1" s="10">
        <v>788</v>
      </c>
      <c r="LFX1" s="10">
        <v>206</v>
      </c>
      <c r="LFY1" s="10">
        <v>516.96</v>
      </c>
      <c r="LFZ1" s="10">
        <v>137</v>
      </c>
      <c r="LGA1" s="10">
        <v>619</v>
      </c>
      <c r="LGB1" s="10">
        <v>379</v>
      </c>
      <c r="LGC1" s="135">
        <v>3426</v>
      </c>
      <c r="LGD1" s="10">
        <v>274</v>
      </c>
      <c r="LGE1" s="10">
        <v>0</v>
      </c>
      <c r="LGF1" s="10">
        <v>32</v>
      </c>
      <c r="LGG1" s="10">
        <v>8</v>
      </c>
      <c r="LGH1" s="10">
        <v>21</v>
      </c>
      <c r="LGI1" s="10">
        <v>5</v>
      </c>
      <c r="LGJ1" s="10">
        <v>25</v>
      </c>
      <c r="LGK1" s="10">
        <v>15</v>
      </c>
      <c r="LGL1" s="10">
        <v>0</v>
      </c>
      <c r="LGM1" s="10">
        <v>46</v>
      </c>
      <c r="LGN1" s="10">
        <v>137</v>
      </c>
      <c r="LGO1" s="10">
        <v>457</v>
      </c>
      <c r="LGP1" s="135">
        <v>5198</v>
      </c>
      <c r="LGQ1" s="135">
        <v>6000</v>
      </c>
      <c r="LGR1" s="135">
        <v>141157</v>
      </c>
      <c r="LMJ1" s="10">
        <v>42</v>
      </c>
      <c r="LMK1" s="10">
        <v>10</v>
      </c>
      <c r="LML1" s="10">
        <v>1</v>
      </c>
      <c r="LMM1" s="10">
        <v>20</v>
      </c>
      <c r="LMN1" s="10">
        <v>42</v>
      </c>
      <c r="LMO1" s="10">
        <v>270</v>
      </c>
      <c r="LMQ1" s="10" t="s">
        <v>163</v>
      </c>
      <c r="LMR1" s="10" t="s">
        <v>57</v>
      </c>
      <c r="LMS1" s="10" t="s">
        <v>68</v>
      </c>
      <c r="LMT1" s="10" t="s">
        <v>107</v>
      </c>
      <c r="LMU1" s="10" t="s">
        <v>60</v>
      </c>
      <c r="LMV1" s="10">
        <v>1</v>
      </c>
      <c r="LMW1" s="135">
        <v>7116</v>
      </c>
      <c r="LMX1" s="10">
        <v>0</v>
      </c>
      <c r="LMY1" s="135">
        <v>7116</v>
      </c>
      <c r="LMZ1" s="10">
        <v>269</v>
      </c>
      <c r="LNA1" s="10">
        <v>0</v>
      </c>
      <c r="LNB1" s="135">
        <v>1186</v>
      </c>
      <c r="LNC1" s="135">
        <v>11860</v>
      </c>
      <c r="LND1" s="10">
        <v>849</v>
      </c>
      <c r="LNE1" s="10">
        <v>222</v>
      </c>
      <c r="LNF1" s="10">
        <v>530.91999999999996</v>
      </c>
      <c r="LNG1" s="10">
        <v>148</v>
      </c>
      <c r="LNH1" s="10">
        <v>629</v>
      </c>
      <c r="LNI1" s="10">
        <v>389</v>
      </c>
      <c r="LNJ1" s="135">
        <v>3558</v>
      </c>
      <c r="LNK1" s="10">
        <v>285</v>
      </c>
      <c r="LNL1" s="10">
        <v>11</v>
      </c>
      <c r="LNM1" s="10">
        <v>34</v>
      </c>
      <c r="LNN1" s="10">
        <v>9</v>
      </c>
      <c r="LNO1" s="10">
        <v>21</v>
      </c>
      <c r="LNP1" s="10">
        <v>6</v>
      </c>
      <c r="LNQ1" s="10">
        <v>25</v>
      </c>
      <c r="LNR1" s="10">
        <v>16</v>
      </c>
      <c r="LNS1" s="10">
        <v>0</v>
      </c>
      <c r="LNT1" s="10">
        <v>47</v>
      </c>
      <c r="LNU1" s="10">
        <v>142</v>
      </c>
      <c r="LNV1" s="10">
        <v>474</v>
      </c>
      <c r="LNW1" s="135">
        <v>5537</v>
      </c>
      <c r="LNX1" s="135">
        <v>6000</v>
      </c>
      <c r="LNY1" s="135">
        <v>149973</v>
      </c>
      <c r="LTQ1" s="10">
        <v>43</v>
      </c>
      <c r="LTR1" s="10">
        <v>10</v>
      </c>
      <c r="LTS1" s="10">
        <v>1</v>
      </c>
      <c r="LTT1" s="10">
        <v>20</v>
      </c>
      <c r="LTU1" s="10">
        <v>43</v>
      </c>
      <c r="LTV1" s="10">
        <v>270</v>
      </c>
      <c r="LTX1" s="10" t="s">
        <v>165</v>
      </c>
      <c r="LTY1" s="10" t="s">
        <v>57</v>
      </c>
      <c r="LTZ1" s="10" t="s">
        <v>64</v>
      </c>
      <c r="LUA1" s="10" t="s">
        <v>65</v>
      </c>
      <c r="LUB1" s="10" t="s">
        <v>60</v>
      </c>
      <c r="LUC1" s="10">
        <v>1</v>
      </c>
      <c r="LUD1" s="135">
        <v>6852</v>
      </c>
      <c r="LUE1" s="10">
        <v>0</v>
      </c>
      <c r="LUF1" s="135">
        <v>6852</v>
      </c>
      <c r="LUG1" s="10">
        <v>269</v>
      </c>
      <c r="LUH1" s="10">
        <v>0</v>
      </c>
      <c r="LUI1" s="135">
        <v>1142</v>
      </c>
      <c r="LUJ1" s="135">
        <v>11420</v>
      </c>
      <c r="LUK1" s="10">
        <v>819</v>
      </c>
      <c r="LUL1" s="10">
        <v>214</v>
      </c>
      <c r="LUM1" s="10">
        <v>523.24</v>
      </c>
      <c r="LUN1" s="10">
        <v>142</v>
      </c>
      <c r="LUO1" s="10">
        <v>619</v>
      </c>
      <c r="LUP1" s="10">
        <v>379</v>
      </c>
      <c r="LUQ1" s="135">
        <v>3426</v>
      </c>
      <c r="LUR1" s="10">
        <v>274</v>
      </c>
      <c r="LUS1" s="10">
        <v>11</v>
      </c>
      <c r="LUT1" s="10">
        <v>33</v>
      </c>
      <c r="LUU1" s="10">
        <v>9</v>
      </c>
      <c r="LUV1" s="10">
        <v>21</v>
      </c>
      <c r="LUW1" s="10">
        <v>6</v>
      </c>
      <c r="LUX1" s="10">
        <v>25</v>
      </c>
      <c r="LUY1" s="10">
        <v>15</v>
      </c>
      <c r="LUZ1" s="10">
        <v>0</v>
      </c>
      <c r="LVA1" s="10">
        <v>46</v>
      </c>
      <c r="LVB1" s="10">
        <v>137</v>
      </c>
      <c r="LVC1" s="10">
        <v>457</v>
      </c>
      <c r="LVD1" s="135">
        <v>5352</v>
      </c>
      <c r="LVE1" s="135">
        <v>6000</v>
      </c>
      <c r="LVF1" s="135">
        <v>145149</v>
      </c>
      <c r="MAX1" s="10">
        <v>44</v>
      </c>
      <c r="MAY1" s="10">
        <v>10</v>
      </c>
      <c r="MAZ1" s="10">
        <v>1</v>
      </c>
      <c r="MBA1" s="10">
        <v>20</v>
      </c>
      <c r="MBB1" s="10">
        <v>44</v>
      </c>
      <c r="MBC1" s="10">
        <v>270</v>
      </c>
      <c r="MBE1" s="10" t="s">
        <v>167</v>
      </c>
      <c r="MBF1" s="10" t="s">
        <v>57</v>
      </c>
      <c r="MBG1" s="10" t="s">
        <v>58</v>
      </c>
      <c r="MBH1" s="10" t="s">
        <v>121</v>
      </c>
      <c r="MBI1" s="10" t="s">
        <v>74</v>
      </c>
      <c r="MBJ1" s="10">
        <v>1</v>
      </c>
      <c r="MBK1" s="135">
        <v>7713</v>
      </c>
      <c r="MBL1" s="10">
        <v>0</v>
      </c>
      <c r="MBM1" s="135">
        <v>7713</v>
      </c>
      <c r="MBN1" s="10">
        <v>336</v>
      </c>
      <c r="MBO1" s="10">
        <v>0</v>
      </c>
      <c r="MBP1" s="135">
        <v>1286</v>
      </c>
      <c r="MBQ1" s="135">
        <v>12855</v>
      </c>
      <c r="MBR1" s="10">
        <v>926</v>
      </c>
      <c r="MBS1" s="10">
        <v>241</v>
      </c>
      <c r="MBT1" s="10">
        <v>552.95000000000005</v>
      </c>
      <c r="MBU1" s="10">
        <v>161</v>
      </c>
      <c r="MBV1" s="10">
        <v>714</v>
      </c>
      <c r="MBW1" s="10">
        <v>490</v>
      </c>
      <c r="MBX1" s="135">
        <v>3857</v>
      </c>
      <c r="MBY1" s="10">
        <v>309</v>
      </c>
      <c r="MBZ1" s="10">
        <v>13</v>
      </c>
      <c r="MCA1" s="10">
        <v>37</v>
      </c>
      <c r="MCB1" s="10">
        <v>10</v>
      </c>
      <c r="MCC1" s="10">
        <v>22</v>
      </c>
      <c r="MCD1" s="10">
        <v>6</v>
      </c>
      <c r="MCE1" s="10">
        <v>29</v>
      </c>
      <c r="MCF1" s="10">
        <v>20</v>
      </c>
      <c r="MCG1" s="10">
        <v>0</v>
      </c>
      <c r="MCH1" s="10">
        <v>51</v>
      </c>
      <c r="MCI1" s="10">
        <v>154</v>
      </c>
      <c r="MCJ1" s="10">
        <v>514</v>
      </c>
      <c r="MCK1" s="135">
        <v>6064</v>
      </c>
      <c r="MCL1" s="135">
        <v>6000</v>
      </c>
      <c r="MCM1" s="135">
        <v>163676</v>
      </c>
      <c r="MIE1" s="10">
        <v>45</v>
      </c>
      <c r="MIF1" s="10">
        <v>10</v>
      </c>
      <c r="MIG1" s="10">
        <v>1</v>
      </c>
      <c r="MIH1" s="10">
        <v>20</v>
      </c>
      <c r="MII1" s="10">
        <v>45</v>
      </c>
      <c r="MIJ1" s="10">
        <v>270</v>
      </c>
      <c r="MIL1" s="10" t="s">
        <v>280</v>
      </c>
      <c r="MIM1" s="10" t="s">
        <v>57</v>
      </c>
      <c r="MIN1" s="10" t="s">
        <v>64</v>
      </c>
      <c r="MIO1" s="10" t="s">
        <v>65</v>
      </c>
      <c r="MIP1" s="10" t="s">
        <v>60</v>
      </c>
      <c r="MIQ1" s="10">
        <v>1</v>
      </c>
      <c r="MIR1" s="135">
        <v>6852</v>
      </c>
      <c r="MIS1" s="10">
        <v>0</v>
      </c>
      <c r="MIT1" s="135">
        <v>6852</v>
      </c>
      <c r="MIU1" s="10">
        <v>471</v>
      </c>
      <c r="MIV1" s="10">
        <v>0</v>
      </c>
      <c r="MIW1" s="135">
        <v>1142</v>
      </c>
      <c r="MIX1" s="135">
        <v>11420</v>
      </c>
      <c r="MIY1" s="10">
        <v>842</v>
      </c>
      <c r="MIZ1" s="10">
        <v>220</v>
      </c>
      <c r="MJA1" s="10">
        <v>527.96</v>
      </c>
      <c r="MJB1" s="10">
        <v>146</v>
      </c>
      <c r="MJC1" s="10">
        <v>619</v>
      </c>
      <c r="MJD1" s="10">
        <v>379</v>
      </c>
      <c r="MJE1" s="135">
        <v>3426</v>
      </c>
      <c r="MJF1" s="10">
        <v>274</v>
      </c>
      <c r="MJG1" s="10">
        <v>19</v>
      </c>
      <c r="MJH1" s="10">
        <v>34</v>
      </c>
      <c r="MJI1" s="10">
        <v>9</v>
      </c>
      <c r="MJJ1" s="10">
        <v>21</v>
      </c>
      <c r="MJK1" s="10">
        <v>6</v>
      </c>
      <c r="MJL1" s="10">
        <v>25</v>
      </c>
      <c r="MJM1" s="10">
        <v>15</v>
      </c>
      <c r="MJN1" s="10">
        <v>0</v>
      </c>
      <c r="MJO1" s="10">
        <v>46</v>
      </c>
      <c r="MJP1" s="10">
        <v>137</v>
      </c>
      <c r="MJQ1" s="10">
        <v>457</v>
      </c>
      <c r="MJR1" s="135">
        <v>5467</v>
      </c>
      <c r="MJS1" s="135">
        <v>6000</v>
      </c>
      <c r="MJT1" s="135">
        <v>148143</v>
      </c>
      <c r="MPL1" s="10">
        <v>46</v>
      </c>
      <c r="MPM1" s="10">
        <v>10</v>
      </c>
      <c r="MPN1" s="10">
        <v>1</v>
      </c>
      <c r="MPO1" s="10">
        <v>20</v>
      </c>
      <c r="MPP1" s="10">
        <v>46</v>
      </c>
      <c r="MPQ1" s="10">
        <v>270</v>
      </c>
      <c r="MPS1" s="10" t="s">
        <v>319</v>
      </c>
      <c r="MPT1" s="10" t="s">
        <v>57</v>
      </c>
      <c r="MPU1" s="10" t="s">
        <v>286</v>
      </c>
      <c r="MPV1" s="10" t="s">
        <v>287</v>
      </c>
      <c r="MPW1" s="10" t="s">
        <v>74</v>
      </c>
      <c r="MPX1" s="10">
        <v>1</v>
      </c>
      <c r="MPY1" s="135">
        <v>7713</v>
      </c>
      <c r="MPZ1" s="10">
        <v>0</v>
      </c>
      <c r="MQA1" s="135">
        <v>7713</v>
      </c>
      <c r="MQB1" s="10">
        <v>471</v>
      </c>
      <c r="MQC1" s="10">
        <v>0</v>
      </c>
      <c r="MQD1" s="135">
        <v>1286</v>
      </c>
      <c r="MQE1" s="135">
        <v>12855</v>
      </c>
      <c r="MQF1" s="10">
        <v>941</v>
      </c>
      <c r="MQG1" s="10">
        <v>246</v>
      </c>
      <c r="MQH1" s="10">
        <v>558.17999999999995</v>
      </c>
      <c r="MQI1" s="10">
        <v>164</v>
      </c>
      <c r="MQJ1" s="10">
        <v>714</v>
      </c>
      <c r="MQK1" s="10">
        <v>490</v>
      </c>
      <c r="MQL1" s="135">
        <v>3857</v>
      </c>
      <c r="MQM1" s="10">
        <v>309</v>
      </c>
      <c r="MQN1" s="10">
        <v>19</v>
      </c>
      <c r="MQO1" s="10">
        <v>38</v>
      </c>
      <c r="MQP1" s="10">
        <v>10</v>
      </c>
      <c r="MQQ1" s="10">
        <v>22</v>
      </c>
      <c r="MQR1" s="10">
        <v>7</v>
      </c>
      <c r="MQS1" s="10">
        <v>29</v>
      </c>
      <c r="MQT1" s="10">
        <v>20</v>
      </c>
      <c r="MQU1" s="10">
        <v>0</v>
      </c>
      <c r="MQV1" s="10">
        <v>51</v>
      </c>
      <c r="MQW1" s="10">
        <v>154</v>
      </c>
      <c r="MQX1" s="10">
        <v>514</v>
      </c>
      <c r="MQY1" s="135">
        <v>6142</v>
      </c>
      <c r="MQZ1" s="135">
        <v>6000</v>
      </c>
      <c r="MRA1" s="135">
        <v>165698</v>
      </c>
      <c r="MWS1" s="10">
        <v>47</v>
      </c>
      <c r="MWT1" s="10">
        <v>10</v>
      </c>
      <c r="MWU1" s="10">
        <v>1</v>
      </c>
      <c r="MWV1" s="10">
        <v>20</v>
      </c>
      <c r="MWW1" s="10">
        <v>47</v>
      </c>
      <c r="MWX1" s="10">
        <v>270</v>
      </c>
      <c r="MWZ1" s="10" t="s">
        <v>170</v>
      </c>
      <c r="MXA1" s="10" t="s">
        <v>57</v>
      </c>
      <c r="MXB1" s="10" t="s">
        <v>172</v>
      </c>
      <c r="MXC1" s="10" t="s">
        <v>85</v>
      </c>
      <c r="MXD1" s="10" t="s">
        <v>60</v>
      </c>
      <c r="MXE1" s="10">
        <v>1</v>
      </c>
      <c r="MXF1" s="135">
        <v>7491</v>
      </c>
      <c r="MXG1" s="10">
        <v>0</v>
      </c>
      <c r="MXH1" s="135">
        <v>7491</v>
      </c>
      <c r="MXI1" s="10">
        <v>471</v>
      </c>
      <c r="MXJ1" s="10">
        <v>0</v>
      </c>
      <c r="MXK1" s="135">
        <v>1249</v>
      </c>
      <c r="MXL1" s="135">
        <v>12485</v>
      </c>
      <c r="MXM1" s="10">
        <v>916</v>
      </c>
      <c r="MXN1" s="10">
        <v>239</v>
      </c>
      <c r="MXO1" s="10">
        <v>561.49</v>
      </c>
      <c r="MXP1" s="10">
        <v>159</v>
      </c>
      <c r="MXQ1" s="10">
        <v>639</v>
      </c>
      <c r="MXR1" s="10">
        <v>400</v>
      </c>
      <c r="MXS1" s="135">
        <v>3746</v>
      </c>
      <c r="MXT1" s="10">
        <v>300</v>
      </c>
      <c r="MXU1" s="10">
        <v>19</v>
      </c>
      <c r="MXV1" s="10">
        <v>37</v>
      </c>
      <c r="MXW1" s="10">
        <v>10</v>
      </c>
      <c r="MXX1" s="10">
        <v>22</v>
      </c>
      <c r="MXY1" s="10">
        <v>6</v>
      </c>
      <c r="MXZ1" s="10">
        <v>26</v>
      </c>
      <c r="MYA1" s="10">
        <v>16</v>
      </c>
      <c r="MYB1" s="10">
        <v>0</v>
      </c>
      <c r="MYC1" s="10">
        <v>50</v>
      </c>
      <c r="MYD1" s="10">
        <v>150</v>
      </c>
      <c r="MYE1" s="10">
        <v>499</v>
      </c>
      <c r="MYF1" s="135">
        <v>5920</v>
      </c>
      <c r="MYG1" s="135">
        <v>6000</v>
      </c>
      <c r="MYH1" s="135">
        <v>159914</v>
      </c>
      <c r="NDZ1" s="10">
        <v>48</v>
      </c>
      <c r="NEA1" s="10">
        <v>10</v>
      </c>
      <c r="NEB1" s="10">
        <v>1</v>
      </c>
      <c r="NEC1" s="10">
        <v>20</v>
      </c>
      <c r="NED1" s="10">
        <v>48</v>
      </c>
      <c r="NEE1" s="10">
        <v>270</v>
      </c>
      <c r="NEG1" s="10" t="s">
        <v>173</v>
      </c>
      <c r="NEH1" s="10" t="s">
        <v>57</v>
      </c>
      <c r="NEI1" s="10" t="s">
        <v>172</v>
      </c>
      <c r="NEJ1" s="10" t="s">
        <v>85</v>
      </c>
      <c r="NEK1" s="10" t="s">
        <v>60</v>
      </c>
      <c r="NEL1" s="10">
        <v>1</v>
      </c>
      <c r="NEM1" s="135">
        <v>7292</v>
      </c>
      <c r="NEN1" s="10">
        <v>0</v>
      </c>
      <c r="NEO1" s="135">
        <v>7292</v>
      </c>
      <c r="NEP1" s="10">
        <v>404</v>
      </c>
      <c r="NEQ1" s="10">
        <v>0</v>
      </c>
      <c r="NER1" s="135">
        <v>1215</v>
      </c>
      <c r="NES1" s="135">
        <v>12154</v>
      </c>
      <c r="NET1" s="10">
        <v>885</v>
      </c>
      <c r="NEU1" s="10">
        <v>231</v>
      </c>
      <c r="NEV1" s="10">
        <v>543.69000000000005</v>
      </c>
      <c r="NEW1" s="10">
        <v>154</v>
      </c>
      <c r="NEX1" s="10">
        <v>639</v>
      </c>
      <c r="NEY1" s="10">
        <v>400</v>
      </c>
      <c r="NEZ1" s="135">
        <v>3646</v>
      </c>
      <c r="NFA1" s="10">
        <v>292</v>
      </c>
      <c r="NFB1" s="10">
        <v>16</v>
      </c>
      <c r="NFC1" s="10">
        <v>35</v>
      </c>
      <c r="NFD1" s="10">
        <v>9</v>
      </c>
      <c r="NFE1" s="10">
        <v>22</v>
      </c>
      <c r="NFF1" s="10">
        <v>6</v>
      </c>
      <c r="NFG1" s="10">
        <v>26</v>
      </c>
      <c r="NFH1" s="10">
        <v>16</v>
      </c>
      <c r="NFI1" s="10">
        <v>0</v>
      </c>
      <c r="NFJ1" s="10">
        <v>49</v>
      </c>
      <c r="NFK1" s="10">
        <v>146</v>
      </c>
      <c r="NFL1" s="10">
        <v>486</v>
      </c>
      <c r="NFM1" s="135">
        <v>5744</v>
      </c>
      <c r="NFN1" s="135">
        <v>6000</v>
      </c>
      <c r="NFO1" s="135">
        <v>155339</v>
      </c>
      <c r="NLG1" s="10">
        <v>49</v>
      </c>
      <c r="NLH1" s="10">
        <v>10</v>
      </c>
      <c r="NLI1" s="10">
        <v>1</v>
      </c>
      <c r="NLJ1" s="10">
        <v>20</v>
      </c>
      <c r="NLK1" s="10">
        <v>49</v>
      </c>
      <c r="NLL1" s="10">
        <v>270</v>
      </c>
      <c r="NLN1" s="10" t="s">
        <v>175</v>
      </c>
      <c r="NLO1" s="10" t="s">
        <v>57</v>
      </c>
      <c r="NLP1" s="10" t="s">
        <v>64</v>
      </c>
      <c r="NLQ1" s="10" t="s">
        <v>65</v>
      </c>
      <c r="NLR1" s="10" t="s">
        <v>60</v>
      </c>
      <c r="NLS1" s="10">
        <v>1</v>
      </c>
      <c r="NLT1" s="135">
        <v>6852</v>
      </c>
      <c r="NLU1" s="10">
        <v>0</v>
      </c>
      <c r="NLV1" s="135">
        <v>6852</v>
      </c>
      <c r="NLW1" s="10">
        <v>336</v>
      </c>
      <c r="NLX1" s="10">
        <v>0</v>
      </c>
      <c r="NLY1" s="135">
        <v>1142</v>
      </c>
      <c r="NLZ1" s="135">
        <v>11421</v>
      </c>
      <c r="NMA1" s="10">
        <v>827</v>
      </c>
      <c r="NMB1" s="10">
        <v>216</v>
      </c>
      <c r="NMC1" s="10">
        <v>524.80999999999995</v>
      </c>
      <c r="NMD1" s="10">
        <v>144</v>
      </c>
      <c r="NME1" s="10">
        <v>619</v>
      </c>
      <c r="NMF1" s="10">
        <v>379</v>
      </c>
      <c r="NMG1" s="135">
        <v>3426</v>
      </c>
      <c r="NMH1" s="10">
        <v>274</v>
      </c>
      <c r="NMI1" s="10">
        <v>13</v>
      </c>
      <c r="NMJ1" s="10">
        <v>33</v>
      </c>
      <c r="NMK1" s="10">
        <v>9</v>
      </c>
      <c r="NML1" s="10">
        <v>21</v>
      </c>
      <c r="NMM1" s="10">
        <v>6</v>
      </c>
      <c r="NMN1" s="10">
        <v>25</v>
      </c>
      <c r="NMO1" s="10">
        <v>15</v>
      </c>
      <c r="NMP1" s="10">
        <v>0</v>
      </c>
      <c r="NMQ1" s="10">
        <v>46</v>
      </c>
      <c r="NMR1" s="10">
        <v>137</v>
      </c>
      <c r="NMS1" s="10">
        <v>457</v>
      </c>
      <c r="NMT1" s="135">
        <v>5390</v>
      </c>
      <c r="NMU1" s="135">
        <v>6000</v>
      </c>
      <c r="NMV1" s="135">
        <v>146152</v>
      </c>
      <c r="NSN1" s="10">
        <v>50</v>
      </c>
      <c r="NSO1" s="10">
        <v>10</v>
      </c>
      <c r="NSP1" s="10">
        <v>1</v>
      </c>
      <c r="NSQ1" s="10">
        <v>20</v>
      </c>
      <c r="NSR1" s="10">
        <v>50</v>
      </c>
      <c r="NSS1" s="10">
        <v>270</v>
      </c>
      <c r="NSU1" s="10" t="s">
        <v>177</v>
      </c>
      <c r="NSV1" s="10" t="s">
        <v>57</v>
      </c>
      <c r="NSW1" s="10" t="s">
        <v>130</v>
      </c>
      <c r="NSX1" s="10" t="s">
        <v>179</v>
      </c>
      <c r="NSY1" s="10" t="s">
        <v>60</v>
      </c>
      <c r="NSZ1" s="10">
        <v>1</v>
      </c>
      <c r="NTA1" s="135">
        <v>9861</v>
      </c>
      <c r="NTB1" s="10">
        <v>596</v>
      </c>
      <c r="NTC1" s="135">
        <v>10457</v>
      </c>
      <c r="NTD1" s="10">
        <v>471</v>
      </c>
      <c r="NTE1" s="10">
        <v>0</v>
      </c>
      <c r="NTF1" s="135">
        <v>1743</v>
      </c>
      <c r="NTG1" s="135">
        <v>17429</v>
      </c>
      <c r="NTH1" s="135">
        <v>1257</v>
      </c>
      <c r="NTI1" s="10">
        <v>328</v>
      </c>
      <c r="NTJ1" s="10">
        <v>622.85</v>
      </c>
      <c r="NTK1" s="10">
        <v>219</v>
      </c>
      <c r="NTL1" s="10">
        <v>926</v>
      </c>
      <c r="NTM1" s="10">
        <v>578</v>
      </c>
      <c r="NTN1" s="135">
        <v>5229</v>
      </c>
      <c r="NTO1" s="10">
        <v>418</v>
      </c>
      <c r="NTP1" s="10">
        <v>19</v>
      </c>
      <c r="NTQ1" s="10">
        <v>50</v>
      </c>
      <c r="NTR1" s="10">
        <v>13</v>
      </c>
      <c r="NTS1" s="10">
        <v>25</v>
      </c>
      <c r="NTT1" s="10">
        <v>9</v>
      </c>
      <c r="NTU1" s="10">
        <v>37</v>
      </c>
      <c r="NTV1" s="10">
        <v>23</v>
      </c>
      <c r="NTW1" s="10">
        <v>0</v>
      </c>
      <c r="NTX1" s="10">
        <v>70</v>
      </c>
      <c r="NTY1" s="10">
        <v>209</v>
      </c>
      <c r="NTZ1" s="10">
        <v>697</v>
      </c>
      <c r="NUA1" s="135">
        <v>8108</v>
      </c>
      <c r="NUB1" s="135">
        <v>6000</v>
      </c>
      <c r="NUC1" s="135">
        <v>216810</v>
      </c>
      <c r="NZU1" s="10">
        <v>51</v>
      </c>
      <c r="NZV1" s="10">
        <v>10</v>
      </c>
      <c r="NZW1" s="10">
        <v>1</v>
      </c>
      <c r="NZX1" s="10">
        <v>20</v>
      </c>
      <c r="NZY1" s="10">
        <v>51</v>
      </c>
      <c r="NZZ1" s="10">
        <v>270</v>
      </c>
      <c r="OAB1" s="10" t="s">
        <v>181</v>
      </c>
      <c r="OAC1" s="10" t="s">
        <v>57</v>
      </c>
      <c r="OAD1" s="10" t="s">
        <v>68</v>
      </c>
      <c r="OAE1" s="10" t="s">
        <v>59</v>
      </c>
      <c r="OAF1" s="10" t="s">
        <v>60</v>
      </c>
      <c r="OAG1" s="10">
        <v>1</v>
      </c>
      <c r="OAH1" s="135">
        <v>7116</v>
      </c>
      <c r="OAI1" s="10">
        <v>0</v>
      </c>
      <c r="OAJ1" s="135">
        <v>7116</v>
      </c>
      <c r="OAK1" s="10">
        <v>336</v>
      </c>
      <c r="OAL1" s="10">
        <v>0</v>
      </c>
      <c r="OAM1" s="135">
        <v>1186</v>
      </c>
      <c r="OAN1" s="135">
        <v>11860</v>
      </c>
      <c r="OAO1" s="10">
        <v>857</v>
      </c>
      <c r="OAP1" s="10">
        <v>224</v>
      </c>
      <c r="OAQ1" s="10">
        <v>530.91999999999996</v>
      </c>
      <c r="OAR1" s="10">
        <v>149</v>
      </c>
      <c r="OAS1" s="10">
        <v>629</v>
      </c>
      <c r="OAT1" s="10">
        <v>389</v>
      </c>
      <c r="OAU1" s="135">
        <v>3558</v>
      </c>
      <c r="OAV1" s="10">
        <v>285</v>
      </c>
      <c r="OAW1" s="10">
        <v>13</v>
      </c>
      <c r="OAX1" s="10">
        <v>34</v>
      </c>
      <c r="OAY1" s="10">
        <v>9</v>
      </c>
      <c r="OAZ1" s="10">
        <v>21</v>
      </c>
      <c r="OBA1" s="10">
        <v>6</v>
      </c>
      <c r="OBB1" s="10">
        <v>25</v>
      </c>
      <c r="OBC1" s="10">
        <v>16</v>
      </c>
      <c r="OBD1" s="10">
        <v>0</v>
      </c>
      <c r="OBE1" s="10">
        <v>47</v>
      </c>
      <c r="OBF1" s="10">
        <v>142</v>
      </c>
      <c r="OBG1" s="10">
        <v>474</v>
      </c>
      <c r="OBH1" s="135">
        <v>5575</v>
      </c>
      <c r="OBI1" s="135">
        <v>6000</v>
      </c>
      <c r="OBJ1" s="135">
        <v>150951</v>
      </c>
      <c r="OHB1" s="10">
        <v>52</v>
      </c>
      <c r="OHC1" s="10">
        <v>10</v>
      </c>
      <c r="OHD1" s="10">
        <v>1</v>
      </c>
      <c r="OHE1" s="10">
        <v>20</v>
      </c>
      <c r="OHF1" s="10">
        <v>52</v>
      </c>
      <c r="OHG1" s="10">
        <v>270</v>
      </c>
      <c r="OHI1" s="10" t="s">
        <v>320</v>
      </c>
      <c r="OHJ1" s="10" t="s">
        <v>57</v>
      </c>
      <c r="OHK1" s="10" t="s">
        <v>68</v>
      </c>
      <c r="OHL1" s="10" t="s">
        <v>59</v>
      </c>
      <c r="OHM1" s="10" t="s">
        <v>60</v>
      </c>
      <c r="OHN1" s="10">
        <v>1</v>
      </c>
      <c r="OHO1" s="135">
        <v>7116</v>
      </c>
      <c r="OHP1" s="10">
        <v>0</v>
      </c>
      <c r="OHQ1" s="135">
        <v>7116</v>
      </c>
      <c r="OHR1" s="10">
        <v>404</v>
      </c>
      <c r="OHS1" s="10">
        <v>0</v>
      </c>
      <c r="OHT1" s="135">
        <v>1186</v>
      </c>
      <c r="OHU1" s="135">
        <v>11860</v>
      </c>
      <c r="OHV1" s="10">
        <v>865</v>
      </c>
      <c r="OHW1" s="10">
        <v>226</v>
      </c>
      <c r="OHX1" s="10">
        <v>534.07000000000005</v>
      </c>
      <c r="OHY1" s="10">
        <v>150</v>
      </c>
      <c r="OHZ1" s="10">
        <v>629</v>
      </c>
      <c r="OIA1" s="10">
        <v>389</v>
      </c>
      <c r="OIB1" s="135">
        <v>3558</v>
      </c>
      <c r="OIC1" s="10">
        <v>285</v>
      </c>
      <c r="OID1" s="10">
        <v>16</v>
      </c>
      <c r="OIE1" s="10">
        <v>35</v>
      </c>
      <c r="OIF1" s="10">
        <v>9</v>
      </c>
      <c r="OIG1" s="10">
        <v>21</v>
      </c>
      <c r="OIH1" s="10">
        <v>6</v>
      </c>
      <c r="OII1" s="10">
        <v>25</v>
      </c>
      <c r="OIJ1" s="10">
        <v>16</v>
      </c>
      <c r="OIK1" s="10">
        <v>0</v>
      </c>
      <c r="OIL1" s="10">
        <v>47</v>
      </c>
      <c r="OIM1" s="10">
        <v>142</v>
      </c>
      <c r="OIN1" s="10">
        <v>474</v>
      </c>
      <c r="OIO1" s="135">
        <v>5614</v>
      </c>
      <c r="OIP1" s="135">
        <v>6000</v>
      </c>
      <c r="OIQ1" s="135">
        <v>151969</v>
      </c>
      <c r="OOI1" s="10">
        <v>53</v>
      </c>
      <c r="OOJ1" s="10">
        <v>10</v>
      </c>
      <c r="OOK1" s="10">
        <v>1</v>
      </c>
      <c r="OOL1" s="10">
        <v>20</v>
      </c>
      <c r="OOM1" s="10">
        <v>53</v>
      </c>
      <c r="OON1" s="10">
        <v>270</v>
      </c>
      <c r="OOP1" s="10" t="s">
        <v>183</v>
      </c>
      <c r="OOQ1" s="10" t="s">
        <v>57</v>
      </c>
      <c r="OOR1" s="10" t="s">
        <v>64</v>
      </c>
      <c r="OOS1" s="10" t="s">
        <v>317</v>
      </c>
      <c r="OOT1" s="10" t="s">
        <v>60</v>
      </c>
      <c r="OOU1" s="10">
        <v>1</v>
      </c>
      <c r="OOV1" s="135">
        <v>6852</v>
      </c>
      <c r="OOW1" s="10">
        <v>0</v>
      </c>
      <c r="OOX1" s="135">
        <v>6852</v>
      </c>
      <c r="OOY1" s="10">
        <v>0</v>
      </c>
      <c r="OOZ1" s="10">
        <v>0</v>
      </c>
      <c r="OPA1" s="135">
        <v>1142</v>
      </c>
      <c r="OPB1" s="135">
        <v>11420</v>
      </c>
      <c r="OPC1" s="10">
        <v>788</v>
      </c>
      <c r="OPD1" s="10">
        <v>206</v>
      </c>
      <c r="OPE1" s="10">
        <v>516.96</v>
      </c>
      <c r="OPF1" s="10">
        <v>137</v>
      </c>
      <c r="OPG1" s="10">
        <v>619</v>
      </c>
      <c r="OPH1" s="10">
        <v>379</v>
      </c>
      <c r="OPI1" s="135">
        <v>3426</v>
      </c>
      <c r="OPJ1" s="10">
        <v>274</v>
      </c>
      <c r="OPK1" s="10">
        <v>0</v>
      </c>
      <c r="OPL1" s="10">
        <v>32</v>
      </c>
      <c r="OPM1" s="10">
        <v>8</v>
      </c>
      <c r="OPN1" s="10">
        <v>21</v>
      </c>
      <c r="OPO1" s="10">
        <v>5</v>
      </c>
      <c r="OPP1" s="10">
        <v>25</v>
      </c>
      <c r="OPQ1" s="10">
        <v>15</v>
      </c>
      <c r="OPR1" s="10">
        <v>0</v>
      </c>
      <c r="OPS1" s="10">
        <v>46</v>
      </c>
      <c r="OPT1" s="10">
        <v>137</v>
      </c>
      <c r="OPU1" s="10">
        <v>457</v>
      </c>
      <c r="OPV1" s="135">
        <v>5198</v>
      </c>
      <c r="OPW1" s="135">
        <v>6000</v>
      </c>
      <c r="OPX1" s="135">
        <v>141157</v>
      </c>
      <c r="OVP1" s="10">
        <v>54</v>
      </c>
      <c r="OVQ1" s="10">
        <v>10</v>
      </c>
      <c r="OVR1" s="10">
        <v>1</v>
      </c>
      <c r="OVS1" s="10">
        <v>20</v>
      </c>
      <c r="OVT1" s="10">
        <v>54</v>
      </c>
      <c r="OVU1" s="10">
        <v>270</v>
      </c>
      <c r="OVW1" s="10" t="s">
        <v>280</v>
      </c>
      <c r="OVX1" s="10" t="s">
        <v>57</v>
      </c>
      <c r="OVY1" s="10" t="s">
        <v>286</v>
      </c>
      <c r="OVZ1" s="10" t="s">
        <v>287</v>
      </c>
      <c r="OWA1" s="10" t="s">
        <v>74</v>
      </c>
      <c r="OWB1" s="10">
        <v>1</v>
      </c>
      <c r="OWC1" s="135">
        <v>7713</v>
      </c>
      <c r="OWD1" s="10">
        <v>0</v>
      </c>
      <c r="OWE1" s="135">
        <v>7713</v>
      </c>
      <c r="OWF1" s="10">
        <v>0</v>
      </c>
      <c r="OWG1" s="135">
        <v>3342</v>
      </c>
      <c r="OWH1" s="135">
        <v>1286</v>
      </c>
      <c r="OWI1" s="135">
        <v>12855</v>
      </c>
      <c r="OWJ1" s="10">
        <v>887</v>
      </c>
      <c r="OWK1" s="10">
        <v>231</v>
      </c>
      <c r="OWL1" s="10">
        <v>555.03</v>
      </c>
      <c r="OWM1" s="10">
        <v>154</v>
      </c>
      <c r="OWN1" s="10">
        <v>714</v>
      </c>
      <c r="OWO1" s="10">
        <v>490</v>
      </c>
      <c r="OWP1" s="135">
        <v>3857</v>
      </c>
      <c r="OWQ1" s="10">
        <v>309</v>
      </c>
      <c r="OWR1" s="10">
        <v>0</v>
      </c>
      <c r="OWS1" s="10">
        <v>35</v>
      </c>
      <c r="OWT1" s="10">
        <v>9</v>
      </c>
      <c r="OWU1" s="10">
        <v>22</v>
      </c>
      <c r="OWV1" s="10">
        <v>6</v>
      </c>
      <c r="OWW1" s="10">
        <v>29</v>
      </c>
      <c r="OWX1" s="10">
        <v>20</v>
      </c>
      <c r="OWY1" s="10">
        <v>134</v>
      </c>
      <c r="OWZ1" s="10">
        <v>51</v>
      </c>
      <c r="OXA1" s="10">
        <v>154</v>
      </c>
      <c r="OXB1" s="10">
        <v>514</v>
      </c>
      <c r="OXC1" s="135">
        <v>6011</v>
      </c>
      <c r="OXD1" s="135">
        <v>6000</v>
      </c>
      <c r="OXE1" s="135">
        <v>162286</v>
      </c>
      <c r="PCW1" s="10">
        <v>55</v>
      </c>
      <c r="PCX1" s="10">
        <v>10</v>
      </c>
      <c r="PCY1" s="10">
        <v>1</v>
      </c>
      <c r="PCZ1" s="10">
        <v>20</v>
      </c>
      <c r="PDA1" s="10">
        <v>55</v>
      </c>
      <c r="PDB1" s="10">
        <v>270</v>
      </c>
      <c r="PDD1" s="10" t="s">
        <v>185</v>
      </c>
      <c r="PDE1" s="10" t="s">
        <v>57</v>
      </c>
      <c r="PDF1" s="10" t="s">
        <v>58</v>
      </c>
      <c r="PDG1" s="10" t="s">
        <v>59</v>
      </c>
      <c r="PDH1" s="10" t="s">
        <v>60</v>
      </c>
      <c r="PDI1" s="10">
        <v>1</v>
      </c>
      <c r="PDJ1" s="135">
        <v>7713</v>
      </c>
      <c r="PDK1" s="10">
        <v>0</v>
      </c>
      <c r="PDL1" s="135">
        <v>7713</v>
      </c>
      <c r="PDM1" s="10">
        <v>269</v>
      </c>
      <c r="PDN1" s="135">
        <v>3342</v>
      </c>
      <c r="PDO1" s="135">
        <v>1286</v>
      </c>
      <c r="PDP1" s="135">
        <v>12855</v>
      </c>
      <c r="PDQ1" s="10">
        <v>918</v>
      </c>
      <c r="PDR1" s="10">
        <v>239</v>
      </c>
      <c r="PDS1" s="10">
        <v>552.95000000000005</v>
      </c>
      <c r="PDT1" s="10">
        <v>160</v>
      </c>
      <c r="PDU1" s="10">
        <v>714</v>
      </c>
      <c r="PDV1" s="10">
        <v>490</v>
      </c>
      <c r="PDW1" s="135">
        <v>3857</v>
      </c>
      <c r="PDX1" s="10">
        <v>309</v>
      </c>
      <c r="PDY1" s="10">
        <v>11</v>
      </c>
      <c r="PDZ1" s="10">
        <v>37</v>
      </c>
      <c r="PEA1" s="10">
        <v>10</v>
      </c>
      <c r="PEB1" s="10">
        <v>22</v>
      </c>
      <c r="PEC1" s="10">
        <v>6</v>
      </c>
      <c r="PED1" s="10">
        <v>29</v>
      </c>
      <c r="PEE1" s="10">
        <v>20</v>
      </c>
      <c r="PEF1" s="10">
        <v>134</v>
      </c>
      <c r="PEG1" s="10">
        <v>51</v>
      </c>
      <c r="PEH1" s="10">
        <v>154</v>
      </c>
      <c r="PEI1" s="10">
        <v>514</v>
      </c>
      <c r="PEJ1" s="135">
        <v>6161</v>
      </c>
      <c r="PEK1" s="135">
        <v>6000</v>
      </c>
      <c r="PEL1" s="135">
        <v>166174</v>
      </c>
      <c r="PKD1" s="10">
        <v>56</v>
      </c>
      <c r="PKE1" s="10">
        <v>10</v>
      </c>
      <c r="PKF1" s="10">
        <v>1</v>
      </c>
      <c r="PKG1" s="10">
        <v>20</v>
      </c>
      <c r="PKH1" s="10">
        <v>56</v>
      </c>
      <c r="PKI1" s="10">
        <v>270</v>
      </c>
      <c r="PKK1" s="10" t="s">
        <v>187</v>
      </c>
      <c r="PKL1" s="10" t="s">
        <v>57</v>
      </c>
      <c r="PKM1" s="10" t="s">
        <v>120</v>
      </c>
      <c r="PKN1" s="10" t="s">
        <v>121</v>
      </c>
      <c r="PKO1" s="10" t="s">
        <v>74</v>
      </c>
      <c r="PKP1" s="10">
        <v>1</v>
      </c>
      <c r="PKQ1" s="135">
        <v>10348</v>
      </c>
      <c r="PKR1" s="10">
        <v>0</v>
      </c>
      <c r="PKS1" s="135">
        <v>10348</v>
      </c>
      <c r="PKT1" s="10">
        <v>404</v>
      </c>
      <c r="PKU1" s="10">
        <v>0</v>
      </c>
      <c r="PKV1" s="135">
        <v>1725</v>
      </c>
      <c r="PKW1" s="135">
        <v>17246</v>
      </c>
      <c r="PKX1" s="135">
        <v>1236</v>
      </c>
      <c r="PKY1" s="10">
        <v>323</v>
      </c>
      <c r="PKZ1" s="10">
        <v>632.22</v>
      </c>
      <c r="PLA1" s="10">
        <v>215</v>
      </c>
      <c r="PLB1" s="10">
        <v>936</v>
      </c>
      <c r="PLC1" s="10">
        <v>650</v>
      </c>
      <c r="PLD1" s="135">
        <v>5174</v>
      </c>
      <c r="PLE1" s="10">
        <v>414</v>
      </c>
      <c r="PLF1" s="10">
        <v>16</v>
      </c>
      <c r="PLG1" s="10">
        <v>49</v>
      </c>
      <c r="PLH1" s="10">
        <v>13</v>
      </c>
      <c r="PLI1" s="10">
        <v>25</v>
      </c>
      <c r="PLJ1" s="10">
        <v>9</v>
      </c>
      <c r="PLK1" s="10">
        <v>37</v>
      </c>
      <c r="PLL1" s="10">
        <v>26</v>
      </c>
      <c r="PLM1" s="10">
        <v>0</v>
      </c>
      <c r="PLN1" s="10">
        <v>69</v>
      </c>
      <c r="PLO1" s="10">
        <v>207</v>
      </c>
      <c r="PLP1" s="10">
        <v>690</v>
      </c>
      <c r="PLQ1" s="135">
        <v>8043</v>
      </c>
      <c r="PLR1" s="135">
        <v>6000</v>
      </c>
      <c r="PLS1" s="135">
        <v>215109</v>
      </c>
      <c r="PRK1" s="10">
        <v>57</v>
      </c>
      <c r="PRL1" s="10">
        <v>10</v>
      </c>
      <c r="PRM1" s="10">
        <v>1</v>
      </c>
      <c r="PRN1" s="10">
        <v>20</v>
      </c>
      <c r="PRO1" s="10">
        <v>57</v>
      </c>
      <c r="PRP1" s="10">
        <v>270</v>
      </c>
      <c r="PRR1" s="10" t="s">
        <v>189</v>
      </c>
      <c r="PRS1" s="10" t="s">
        <v>57</v>
      </c>
      <c r="PRT1" s="10" t="s">
        <v>68</v>
      </c>
      <c r="PRU1" s="10" t="s">
        <v>59</v>
      </c>
      <c r="PRV1" s="10" t="s">
        <v>60</v>
      </c>
      <c r="PRW1" s="10">
        <v>1</v>
      </c>
      <c r="PRX1" s="135">
        <v>7116</v>
      </c>
      <c r="PRY1" s="10">
        <v>0</v>
      </c>
      <c r="PRZ1" s="135">
        <v>7116</v>
      </c>
      <c r="PSA1" s="10">
        <v>404</v>
      </c>
      <c r="PSB1" s="10">
        <v>0</v>
      </c>
      <c r="PSC1" s="135">
        <v>1186</v>
      </c>
      <c r="PSD1" s="135">
        <v>11860</v>
      </c>
      <c r="PSE1" s="10">
        <v>865</v>
      </c>
      <c r="PSF1" s="10">
        <v>226</v>
      </c>
      <c r="PSG1" s="10">
        <v>534.07000000000005</v>
      </c>
      <c r="PSH1" s="10">
        <v>150</v>
      </c>
      <c r="PSI1" s="10">
        <v>629</v>
      </c>
      <c r="PSJ1" s="10">
        <v>389</v>
      </c>
      <c r="PSK1" s="135">
        <v>3558</v>
      </c>
      <c r="PSL1" s="10">
        <v>285</v>
      </c>
      <c r="PSM1" s="10">
        <v>16</v>
      </c>
      <c r="PSN1" s="10">
        <v>35</v>
      </c>
      <c r="PSO1" s="10">
        <v>9</v>
      </c>
      <c r="PSP1" s="10">
        <v>21</v>
      </c>
      <c r="PSQ1" s="10">
        <v>6</v>
      </c>
      <c r="PSR1" s="10">
        <v>25</v>
      </c>
      <c r="PSS1" s="10">
        <v>16</v>
      </c>
      <c r="PST1" s="10">
        <v>0</v>
      </c>
      <c r="PSU1" s="10">
        <v>47</v>
      </c>
      <c r="PSV1" s="10">
        <v>142</v>
      </c>
      <c r="PSW1" s="10">
        <v>474</v>
      </c>
      <c r="PSX1" s="135">
        <v>5614</v>
      </c>
      <c r="PSY1" s="135">
        <v>6000</v>
      </c>
      <c r="PSZ1" s="135">
        <v>151969</v>
      </c>
      <c r="PYR1" s="10">
        <v>58</v>
      </c>
      <c r="PYS1" s="10">
        <v>10</v>
      </c>
      <c r="PYT1" s="10">
        <v>1</v>
      </c>
      <c r="PYU1" s="10">
        <v>20</v>
      </c>
      <c r="PYV1" s="10">
        <v>58</v>
      </c>
      <c r="PYW1" s="10">
        <v>270</v>
      </c>
      <c r="PYY1" s="10" t="s">
        <v>191</v>
      </c>
      <c r="PYZ1" s="10" t="s">
        <v>57</v>
      </c>
      <c r="PZA1" s="10" t="s">
        <v>193</v>
      </c>
      <c r="PZB1" s="10" t="s">
        <v>59</v>
      </c>
      <c r="PZC1" s="10" t="s">
        <v>60</v>
      </c>
      <c r="PZD1" s="10">
        <v>1</v>
      </c>
      <c r="PZE1" s="135">
        <v>10823</v>
      </c>
      <c r="PZF1" s="10">
        <v>0</v>
      </c>
      <c r="PZG1" s="135">
        <v>10823</v>
      </c>
      <c r="PZH1" s="10">
        <v>336</v>
      </c>
      <c r="PZI1" s="10">
        <v>0</v>
      </c>
      <c r="PZJ1" s="135">
        <v>1804</v>
      </c>
      <c r="PZK1" s="135">
        <v>18038</v>
      </c>
      <c r="PZL1" s="135">
        <v>1283</v>
      </c>
      <c r="PZM1" s="10">
        <v>335</v>
      </c>
      <c r="PZN1" s="10">
        <v>644.75</v>
      </c>
      <c r="PZO1" s="10">
        <v>223</v>
      </c>
      <c r="PZP1" s="10">
        <v>951</v>
      </c>
      <c r="PZQ1" s="10">
        <v>665</v>
      </c>
      <c r="PZR1" s="135">
        <v>5411</v>
      </c>
      <c r="PZS1" s="10">
        <v>433</v>
      </c>
      <c r="PZT1" s="10">
        <v>13</v>
      </c>
      <c r="PZU1" s="10">
        <v>51</v>
      </c>
      <c r="PZV1" s="10">
        <v>13</v>
      </c>
      <c r="PZW1" s="10">
        <v>26</v>
      </c>
      <c r="PZX1" s="10">
        <v>9</v>
      </c>
      <c r="PZY1" s="10">
        <v>38</v>
      </c>
      <c r="PZZ1" s="10">
        <v>27</v>
      </c>
      <c r="QAA1" s="10">
        <v>0</v>
      </c>
      <c r="QAB1" s="10">
        <v>72</v>
      </c>
      <c r="QAC1" s="10">
        <v>216</v>
      </c>
      <c r="QAD1" s="10">
        <v>722</v>
      </c>
      <c r="QAE1" s="135">
        <v>8335</v>
      </c>
      <c r="QAF1" s="135">
        <v>6000</v>
      </c>
      <c r="QAG1" s="135">
        <v>222719</v>
      </c>
      <c r="QFY1" s="10">
        <v>59</v>
      </c>
      <c r="QFZ1" s="10">
        <v>10</v>
      </c>
      <c r="QGA1" s="10">
        <v>1</v>
      </c>
      <c r="QGB1" s="10">
        <v>20</v>
      </c>
      <c r="QGC1" s="10">
        <v>59</v>
      </c>
      <c r="QGD1" s="10">
        <v>270</v>
      </c>
      <c r="QGF1" s="10" t="s">
        <v>194</v>
      </c>
      <c r="QGG1" s="10" t="s">
        <v>57</v>
      </c>
      <c r="QGH1" s="10" t="s">
        <v>64</v>
      </c>
      <c r="QGI1" s="10" t="s">
        <v>65</v>
      </c>
      <c r="QGJ1" s="10" t="s">
        <v>60</v>
      </c>
      <c r="QGK1" s="10">
        <v>1</v>
      </c>
      <c r="QGL1" s="135">
        <v>6852</v>
      </c>
      <c r="QGM1" s="10">
        <v>0</v>
      </c>
      <c r="QGN1" s="135">
        <v>6852</v>
      </c>
      <c r="QGO1" s="10">
        <v>202</v>
      </c>
      <c r="QGP1" s="10">
        <v>0</v>
      </c>
      <c r="QGQ1" s="135">
        <v>1142</v>
      </c>
      <c r="QGR1" s="135">
        <v>11421</v>
      </c>
      <c r="QGS1" s="10">
        <v>811</v>
      </c>
      <c r="QGT1" s="10">
        <v>212</v>
      </c>
      <c r="QGU1" s="10">
        <v>521.66999999999996</v>
      </c>
      <c r="QGV1" s="10">
        <v>141</v>
      </c>
      <c r="QGW1" s="10">
        <v>619</v>
      </c>
      <c r="QGX1" s="10">
        <v>379</v>
      </c>
      <c r="QGY1" s="135">
        <v>3426</v>
      </c>
      <c r="QGZ1" s="10">
        <v>274</v>
      </c>
      <c r="QHA1" s="10">
        <v>8</v>
      </c>
      <c r="QHB1" s="10">
        <v>32</v>
      </c>
      <c r="QHC1" s="10">
        <v>8</v>
      </c>
      <c r="QHD1" s="10">
        <v>21</v>
      </c>
      <c r="QHE1" s="10">
        <v>6</v>
      </c>
      <c r="QHF1" s="10">
        <v>25</v>
      </c>
      <c r="QHG1" s="10">
        <v>15</v>
      </c>
      <c r="QHH1" s="10">
        <v>0</v>
      </c>
      <c r="QHI1" s="10">
        <v>46</v>
      </c>
      <c r="QHJ1" s="10">
        <v>137</v>
      </c>
      <c r="QHK1" s="10">
        <v>457</v>
      </c>
      <c r="QHL1" s="135">
        <v>5314</v>
      </c>
      <c r="QHM1" s="135">
        <v>6000</v>
      </c>
      <c r="QHN1" s="135">
        <v>144156</v>
      </c>
      <c r="QNF1" s="10">
        <v>60</v>
      </c>
      <c r="QNG1" s="10">
        <v>10</v>
      </c>
      <c r="QNH1" s="10">
        <v>1</v>
      </c>
      <c r="QNI1" s="10">
        <v>20</v>
      </c>
      <c r="QNJ1" s="10">
        <v>60</v>
      </c>
      <c r="QNK1" s="10">
        <v>270</v>
      </c>
      <c r="QNM1" s="10" t="s">
        <v>196</v>
      </c>
      <c r="QNN1" s="10" t="s">
        <v>57</v>
      </c>
      <c r="QNO1" s="10" t="s">
        <v>64</v>
      </c>
      <c r="QNP1" s="10" t="s">
        <v>65</v>
      </c>
      <c r="QNQ1" s="10" t="s">
        <v>60</v>
      </c>
      <c r="QNR1" s="10">
        <v>1</v>
      </c>
      <c r="QNS1" s="135">
        <v>6852</v>
      </c>
      <c r="QNT1" s="10">
        <v>0</v>
      </c>
      <c r="QNU1" s="135">
        <v>6852</v>
      </c>
      <c r="QNV1" s="10">
        <v>471</v>
      </c>
      <c r="QNW1" s="10">
        <v>0</v>
      </c>
      <c r="QNX1" s="135">
        <v>1142</v>
      </c>
      <c r="QNY1" s="135">
        <v>11421</v>
      </c>
      <c r="QNZ1" s="10">
        <v>842</v>
      </c>
      <c r="QOA1" s="10">
        <v>220</v>
      </c>
      <c r="QOB1" s="10">
        <v>527.96</v>
      </c>
      <c r="QOC1" s="10">
        <v>146</v>
      </c>
      <c r="QOD1" s="10">
        <v>619</v>
      </c>
      <c r="QOE1" s="10">
        <v>379</v>
      </c>
      <c r="QOF1" s="135">
        <v>3426</v>
      </c>
      <c r="QOG1" s="10">
        <v>274</v>
      </c>
      <c r="QOH1" s="10">
        <v>19</v>
      </c>
      <c r="QOI1" s="10">
        <v>34</v>
      </c>
      <c r="QOJ1" s="10">
        <v>9</v>
      </c>
      <c r="QOK1" s="10">
        <v>21</v>
      </c>
      <c r="QOL1" s="10">
        <v>6</v>
      </c>
      <c r="QOM1" s="10">
        <v>25</v>
      </c>
      <c r="QON1" s="10">
        <v>15</v>
      </c>
      <c r="QOO1" s="10">
        <v>0</v>
      </c>
      <c r="QOP1" s="10">
        <v>46</v>
      </c>
      <c r="QOQ1" s="10">
        <v>137</v>
      </c>
      <c r="QOR1" s="10">
        <v>457</v>
      </c>
      <c r="QOS1" s="135">
        <v>5467</v>
      </c>
      <c r="QOT1" s="135">
        <v>6000</v>
      </c>
      <c r="QOU1" s="135">
        <v>148148</v>
      </c>
      <c r="QUM1" s="10">
        <v>61</v>
      </c>
      <c r="QUN1" s="10">
        <v>10</v>
      </c>
      <c r="QUO1" s="10">
        <v>1</v>
      </c>
      <c r="QUP1" s="10">
        <v>20</v>
      </c>
      <c r="QUQ1" s="10">
        <v>61</v>
      </c>
      <c r="QUR1" s="10">
        <v>270</v>
      </c>
      <c r="QUT1" s="10" t="s">
        <v>198</v>
      </c>
      <c r="QUU1" s="10" t="s">
        <v>57</v>
      </c>
      <c r="QUV1" s="10" t="s">
        <v>68</v>
      </c>
      <c r="QUW1" s="10" t="s">
        <v>59</v>
      </c>
      <c r="QUX1" s="10" t="s">
        <v>60</v>
      </c>
      <c r="QUY1" s="10">
        <v>1</v>
      </c>
      <c r="QUZ1" s="135">
        <v>7116</v>
      </c>
      <c r="QVA1" s="10">
        <v>0</v>
      </c>
      <c r="QVB1" s="135">
        <v>7116</v>
      </c>
      <c r="QVC1" s="10">
        <v>269</v>
      </c>
      <c r="QVD1" s="10">
        <v>0</v>
      </c>
      <c r="QVE1" s="135">
        <v>1186</v>
      </c>
      <c r="QVF1" s="135">
        <v>11860</v>
      </c>
      <c r="QVG1" s="10">
        <v>849</v>
      </c>
      <c r="QVH1" s="10">
        <v>222</v>
      </c>
      <c r="QVI1" s="10">
        <v>530.91999999999996</v>
      </c>
      <c r="QVJ1" s="10">
        <v>148</v>
      </c>
      <c r="QVK1" s="10">
        <v>629</v>
      </c>
      <c r="QVL1" s="10">
        <v>389</v>
      </c>
      <c r="QVM1" s="135">
        <v>3558</v>
      </c>
      <c r="QVN1" s="10">
        <v>285</v>
      </c>
      <c r="QVO1" s="10">
        <v>11</v>
      </c>
      <c r="QVP1" s="10">
        <v>34</v>
      </c>
      <c r="QVQ1" s="10">
        <v>9</v>
      </c>
      <c r="QVR1" s="10">
        <v>21</v>
      </c>
      <c r="QVS1" s="10">
        <v>6</v>
      </c>
      <c r="QVT1" s="10">
        <v>25</v>
      </c>
      <c r="QVU1" s="10">
        <v>16</v>
      </c>
      <c r="QVV1" s="10">
        <v>0</v>
      </c>
      <c r="QVW1" s="10">
        <v>47</v>
      </c>
      <c r="QVX1" s="10">
        <v>142</v>
      </c>
      <c r="QVY1" s="10">
        <v>474</v>
      </c>
      <c r="QVZ1" s="135">
        <v>5537</v>
      </c>
      <c r="QWA1" s="135">
        <v>6000</v>
      </c>
      <c r="QWB1" s="135">
        <v>149973</v>
      </c>
      <c r="RBT1" s="10">
        <v>62</v>
      </c>
      <c r="RBU1" s="10">
        <v>10</v>
      </c>
      <c r="RBV1" s="10">
        <v>1</v>
      </c>
      <c r="RBW1" s="10">
        <v>20</v>
      </c>
      <c r="RBX1" s="10">
        <v>62</v>
      </c>
      <c r="RBY1" s="10">
        <v>270</v>
      </c>
      <c r="RCA1" s="10" t="s">
        <v>200</v>
      </c>
      <c r="RCB1" s="10" t="s">
        <v>57</v>
      </c>
      <c r="RCC1" s="10" t="s">
        <v>130</v>
      </c>
      <c r="RCD1" s="10" t="s">
        <v>73</v>
      </c>
      <c r="RCE1" s="10" t="s">
        <v>74</v>
      </c>
      <c r="RCF1" s="10">
        <v>1</v>
      </c>
      <c r="RCG1" s="135">
        <v>9861</v>
      </c>
      <c r="RCH1" s="10">
        <v>0</v>
      </c>
      <c r="RCI1" s="135">
        <v>9861</v>
      </c>
      <c r="RCJ1" s="10">
        <v>202</v>
      </c>
      <c r="RCK1" s="10">
        <v>0</v>
      </c>
      <c r="RCL1" s="135">
        <v>1644</v>
      </c>
      <c r="RCM1" s="135">
        <v>16435</v>
      </c>
      <c r="RCN1" s="135">
        <v>1157</v>
      </c>
      <c r="RCO1" s="10">
        <v>302</v>
      </c>
      <c r="RCP1" s="10">
        <v>616.5</v>
      </c>
      <c r="RCQ1" s="10">
        <v>201</v>
      </c>
      <c r="RCR1" s="10">
        <v>926</v>
      </c>
      <c r="RCS1" s="10">
        <v>578</v>
      </c>
      <c r="RCT1" s="135">
        <v>4931</v>
      </c>
      <c r="RCU1" s="10">
        <v>394</v>
      </c>
      <c r="RCV1" s="10">
        <v>8</v>
      </c>
      <c r="RCW1" s="10">
        <v>46</v>
      </c>
      <c r="RCX1" s="10">
        <v>12</v>
      </c>
      <c r="RCY1" s="10">
        <v>25</v>
      </c>
      <c r="RCZ1" s="10">
        <v>8</v>
      </c>
      <c r="RDA1" s="10">
        <v>37</v>
      </c>
      <c r="RDB1" s="10">
        <v>23</v>
      </c>
      <c r="RDC1" s="10">
        <v>0</v>
      </c>
      <c r="RDD1" s="10">
        <v>66</v>
      </c>
      <c r="RDE1" s="10">
        <v>197</v>
      </c>
      <c r="RDF1" s="10">
        <v>657</v>
      </c>
      <c r="RDG1" s="135">
        <v>7565</v>
      </c>
      <c r="RDH1" s="135">
        <v>6000</v>
      </c>
      <c r="RDI1" s="135">
        <v>202699</v>
      </c>
      <c r="RJA1" s="10">
        <v>63</v>
      </c>
      <c r="RJB1" s="10">
        <v>10</v>
      </c>
      <c r="RJC1" s="10">
        <v>1</v>
      </c>
      <c r="RJD1" s="10">
        <v>20</v>
      </c>
      <c r="RJE1" s="10">
        <v>63</v>
      </c>
      <c r="RJF1" s="10">
        <v>270</v>
      </c>
      <c r="RJH1" s="10" t="s">
        <v>202</v>
      </c>
      <c r="RJI1" s="10" t="s">
        <v>57</v>
      </c>
      <c r="RJJ1" s="10" t="s">
        <v>64</v>
      </c>
      <c r="RJK1" s="10" t="s">
        <v>65</v>
      </c>
      <c r="RJL1" s="10" t="s">
        <v>60</v>
      </c>
      <c r="RJM1" s="10">
        <v>1</v>
      </c>
      <c r="RJN1" s="135">
        <v>6852</v>
      </c>
      <c r="RJO1" s="10">
        <v>0</v>
      </c>
      <c r="RJP1" s="135">
        <v>6852</v>
      </c>
      <c r="RJQ1" s="10">
        <v>202</v>
      </c>
      <c r="RJR1" s="10">
        <v>0</v>
      </c>
      <c r="RJS1" s="135">
        <v>1142</v>
      </c>
      <c r="RJT1" s="135">
        <v>11420</v>
      </c>
      <c r="RJU1" s="10">
        <v>811</v>
      </c>
      <c r="RJV1" s="10">
        <v>212</v>
      </c>
      <c r="RJW1" s="10">
        <v>521.66999999999996</v>
      </c>
      <c r="RJX1" s="10">
        <v>141</v>
      </c>
      <c r="RJY1" s="10">
        <v>619</v>
      </c>
      <c r="RJZ1" s="10">
        <v>379</v>
      </c>
      <c r="RKA1" s="135">
        <v>3426</v>
      </c>
      <c r="RKB1" s="10">
        <v>274</v>
      </c>
      <c r="RKC1" s="10">
        <v>8</v>
      </c>
      <c r="RKD1" s="10">
        <v>32</v>
      </c>
      <c r="RKE1" s="10">
        <v>8</v>
      </c>
      <c r="RKF1" s="10">
        <v>21</v>
      </c>
      <c r="RKG1" s="10">
        <v>6</v>
      </c>
      <c r="RKH1" s="10">
        <v>25</v>
      </c>
      <c r="RKI1" s="10">
        <v>15</v>
      </c>
      <c r="RKJ1" s="10">
        <v>0</v>
      </c>
      <c r="RKK1" s="10">
        <v>46</v>
      </c>
      <c r="RKL1" s="10">
        <v>137</v>
      </c>
      <c r="RKM1" s="10">
        <v>457</v>
      </c>
      <c r="RKN1" s="135">
        <v>5313</v>
      </c>
      <c r="RKO1" s="135">
        <v>6000</v>
      </c>
      <c r="RKP1" s="135">
        <v>144151</v>
      </c>
      <c r="RQH1" s="10">
        <v>64</v>
      </c>
      <c r="RQI1" s="10">
        <v>10</v>
      </c>
      <c r="RQJ1" s="10">
        <v>1</v>
      </c>
      <c r="RQK1" s="10">
        <v>20</v>
      </c>
      <c r="RQL1" s="10">
        <v>64</v>
      </c>
      <c r="RQM1" s="10">
        <v>270</v>
      </c>
      <c r="RQO1" s="10" t="s">
        <v>204</v>
      </c>
      <c r="RQP1" s="10" t="s">
        <v>57</v>
      </c>
      <c r="RQQ1" s="10" t="s">
        <v>68</v>
      </c>
      <c r="RQR1" s="10" t="s">
        <v>59</v>
      </c>
      <c r="RQS1" s="10" t="s">
        <v>60</v>
      </c>
      <c r="RQT1" s="10">
        <v>1</v>
      </c>
      <c r="RQU1" s="135">
        <v>7116</v>
      </c>
      <c r="RQV1" s="10">
        <v>0</v>
      </c>
      <c r="RQW1" s="135">
        <v>7116</v>
      </c>
      <c r="RQX1" s="10">
        <v>269</v>
      </c>
      <c r="RQY1" s="135">
        <v>3084</v>
      </c>
      <c r="RQZ1" s="135">
        <v>1186</v>
      </c>
      <c r="RRA1" s="135">
        <v>11860</v>
      </c>
      <c r="RRB1" s="10">
        <v>849</v>
      </c>
      <c r="RRC1" s="10">
        <v>222</v>
      </c>
      <c r="RRD1" s="10">
        <v>530.91999999999996</v>
      </c>
      <c r="RRE1" s="10">
        <v>148</v>
      </c>
      <c r="RRF1" s="10">
        <v>629</v>
      </c>
      <c r="RRG1" s="10">
        <v>389</v>
      </c>
      <c r="RRH1" s="135">
        <v>3558</v>
      </c>
      <c r="RRI1" s="10">
        <v>285</v>
      </c>
      <c r="RRJ1" s="10">
        <v>11</v>
      </c>
      <c r="RRK1" s="10">
        <v>34</v>
      </c>
      <c r="RRL1" s="10">
        <v>9</v>
      </c>
      <c r="RRM1" s="10">
        <v>21</v>
      </c>
      <c r="RRN1" s="10">
        <v>6</v>
      </c>
      <c r="RRO1" s="10">
        <v>25</v>
      </c>
      <c r="RRP1" s="10">
        <v>16</v>
      </c>
      <c r="RRQ1" s="10">
        <v>123</v>
      </c>
      <c r="RRR1" s="10">
        <v>47</v>
      </c>
      <c r="RRS1" s="10">
        <v>142</v>
      </c>
      <c r="RRT1" s="10">
        <v>474</v>
      </c>
      <c r="RRU1" s="135">
        <v>5661</v>
      </c>
      <c r="RRV1" s="135">
        <v>6000</v>
      </c>
      <c r="RRW1" s="135">
        <v>153180</v>
      </c>
      <c r="RXO1" s="10">
        <v>65</v>
      </c>
      <c r="RXP1" s="10">
        <v>10</v>
      </c>
      <c r="RXQ1" s="10">
        <v>1</v>
      </c>
      <c r="RXR1" s="10">
        <v>20</v>
      </c>
      <c r="RXS1" s="10">
        <v>65</v>
      </c>
      <c r="RXT1" s="10">
        <v>270</v>
      </c>
      <c r="RXV1" s="10" t="s">
        <v>321</v>
      </c>
      <c r="RXW1" s="10" t="s">
        <v>57</v>
      </c>
      <c r="RXX1" s="10" t="s">
        <v>285</v>
      </c>
      <c r="RXY1" s="10" t="s">
        <v>59</v>
      </c>
      <c r="RXZ1" s="10" t="s">
        <v>60</v>
      </c>
      <c r="RYA1" s="10">
        <v>1</v>
      </c>
      <c r="RYB1" s="135">
        <v>7713</v>
      </c>
      <c r="RYC1" s="10">
        <v>0</v>
      </c>
      <c r="RYD1" s="135">
        <v>7713</v>
      </c>
      <c r="RYE1" s="10">
        <v>471</v>
      </c>
      <c r="RYF1" s="10">
        <v>0</v>
      </c>
      <c r="RYG1" s="135">
        <v>1286</v>
      </c>
      <c r="RYH1" s="135">
        <v>12855</v>
      </c>
      <c r="RYI1" s="10">
        <v>941</v>
      </c>
      <c r="RYJ1" s="10">
        <v>246</v>
      </c>
      <c r="RYK1" s="10">
        <v>557.66999999999996</v>
      </c>
      <c r="RYL1" s="10">
        <v>164</v>
      </c>
      <c r="RYM1" s="10">
        <v>714</v>
      </c>
      <c r="RYN1" s="10">
        <v>490</v>
      </c>
      <c r="RYO1" s="135">
        <v>3857</v>
      </c>
      <c r="RYP1" s="10">
        <v>309</v>
      </c>
      <c r="RYQ1" s="10">
        <v>19</v>
      </c>
      <c r="RYR1" s="10">
        <v>38</v>
      </c>
      <c r="RYS1" s="10">
        <v>10</v>
      </c>
      <c r="RYT1" s="10">
        <v>22</v>
      </c>
      <c r="RYU1" s="10">
        <v>7</v>
      </c>
      <c r="RYV1" s="10">
        <v>29</v>
      </c>
      <c r="RYW1" s="10">
        <v>20</v>
      </c>
      <c r="RYX1" s="10">
        <v>0</v>
      </c>
      <c r="RYY1" s="10">
        <v>51</v>
      </c>
      <c r="RYZ1" s="10">
        <v>154</v>
      </c>
      <c r="RZA1" s="10">
        <v>514</v>
      </c>
      <c r="RZB1" s="135">
        <v>6142</v>
      </c>
      <c r="RZC1" s="135">
        <v>6000</v>
      </c>
      <c r="RZD1" s="135">
        <v>165692</v>
      </c>
      <c r="SEV1" s="10">
        <v>66</v>
      </c>
      <c r="SEW1" s="10">
        <v>10</v>
      </c>
      <c r="SEX1" s="10">
        <v>1</v>
      </c>
      <c r="SEY1" s="10">
        <v>20</v>
      </c>
      <c r="SEZ1" s="10">
        <v>66</v>
      </c>
      <c r="SFA1" s="10">
        <v>270</v>
      </c>
      <c r="SFC1" s="10" t="s">
        <v>206</v>
      </c>
      <c r="SFD1" s="10" t="s">
        <v>57</v>
      </c>
      <c r="SFE1" s="10" t="s">
        <v>208</v>
      </c>
      <c r="SFF1" s="10" t="s">
        <v>59</v>
      </c>
      <c r="SFG1" s="10" t="s">
        <v>60</v>
      </c>
      <c r="SFH1" s="10">
        <v>1</v>
      </c>
      <c r="SFI1" s="135">
        <v>9417</v>
      </c>
      <c r="SFJ1" s="10">
        <v>0</v>
      </c>
      <c r="SFK1" s="135">
        <v>9417</v>
      </c>
      <c r="SFL1" s="10">
        <v>202</v>
      </c>
      <c r="SFM1" s="10">
        <v>0</v>
      </c>
      <c r="SFN1" s="135">
        <v>1570</v>
      </c>
      <c r="SFO1" s="135">
        <v>15695</v>
      </c>
      <c r="SFP1" s="135">
        <v>1106</v>
      </c>
      <c r="SFQ1" s="10">
        <v>289</v>
      </c>
      <c r="SFR1" s="10">
        <v>601.51</v>
      </c>
      <c r="SFS1" s="10">
        <v>192</v>
      </c>
      <c r="SFT1" s="10">
        <v>846</v>
      </c>
      <c r="SFU1" s="10">
        <v>550</v>
      </c>
      <c r="SFV1" s="135">
        <v>4709</v>
      </c>
      <c r="SFW1" s="10">
        <v>377</v>
      </c>
      <c r="SFX1" s="10">
        <v>8</v>
      </c>
      <c r="SFY1" s="10">
        <v>44</v>
      </c>
      <c r="SFZ1" s="10">
        <v>12</v>
      </c>
      <c r="SGA1" s="10">
        <v>24</v>
      </c>
      <c r="SGB1" s="10">
        <v>8</v>
      </c>
      <c r="SGC1" s="10">
        <v>34</v>
      </c>
      <c r="SGD1" s="10">
        <v>22</v>
      </c>
      <c r="SGE1" s="10">
        <v>0</v>
      </c>
      <c r="SGF1" s="10">
        <v>63</v>
      </c>
      <c r="SGG1" s="10">
        <v>188</v>
      </c>
      <c r="SGH1" s="10">
        <v>628</v>
      </c>
      <c r="SGI1" s="135">
        <v>7217</v>
      </c>
      <c r="SGJ1" s="135">
        <v>6000</v>
      </c>
      <c r="SGK1" s="135">
        <v>193632</v>
      </c>
      <c r="SMC1" s="10">
        <v>67</v>
      </c>
      <c r="SMD1" s="10">
        <v>10</v>
      </c>
      <c r="SME1" s="10">
        <v>1</v>
      </c>
      <c r="SMF1" s="10">
        <v>20</v>
      </c>
      <c r="SMG1" s="10">
        <v>67</v>
      </c>
      <c r="SMH1" s="10">
        <v>270</v>
      </c>
      <c r="SMJ1" s="10" t="s">
        <v>209</v>
      </c>
      <c r="SMK1" s="10" t="s">
        <v>57</v>
      </c>
      <c r="SML1" s="10" t="s">
        <v>58</v>
      </c>
      <c r="SMM1" s="10" t="s">
        <v>322</v>
      </c>
      <c r="SMN1" s="10" t="s">
        <v>60</v>
      </c>
      <c r="SMO1" s="10">
        <v>1</v>
      </c>
      <c r="SMP1" s="135">
        <v>7713</v>
      </c>
      <c r="SMQ1" s="10">
        <v>0</v>
      </c>
      <c r="SMR1" s="135">
        <v>7713</v>
      </c>
      <c r="SMS1" s="10">
        <v>269</v>
      </c>
      <c r="SMT1" s="10">
        <v>0</v>
      </c>
      <c r="SMU1" s="135">
        <v>1286</v>
      </c>
      <c r="SMV1" s="135">
        <v>12855</v>
      </c>
      <c r="SMW1" s="10">
        <v>918</v>
      </c>
      <c r="SMX1" s="10">
        <v>239</v>
      </c>
      <c r="SMY1" s="10">
        <v>552.95000000000005</v>
      </c>
      <c r="SMZ1" s="10">
        <v>160</v>
      </c>
      <c r="SNA1" s="10">
        <v>714</v>
      </c>
      <c r="SNB1" s="10">
        <v>490</v>
      </c>
      <c r="SNC1" s="135">
        <v>3857</v>
      </c>
      <c r="SND1" s="10">
        <v>309</v>
      </c>
      <c r="SNE1" s="10">
        <v>11</v>
      </c>
      <c r="SNF1" s="10">
        <v>37</v>
      </c>
      <c r="SNG1" s="10">
        <v>10</v>
      </c>
      <c r="SNH1" s="10">
        <v>22</v>
      </c>
      <c r="SNI1" s="10">
        <v>6</v>
      </c>
      <c r="SNJ1" s="10">
        <v>29</v>
      </c>
      <c r="SNK1" s="10">
        <v>20</v>
      </c>
      <c r="SNL1" s="10">
        <v>0</v>
      </c>
      <c r="SNM1" s="10">
        <v>51</v>
      </c>
      <c r="SNN1" s="10">
        <v>154</v>
      </c>
      <c r="SNO1" s="10">
        <v>514</v>
      </c>
      <c r="SNP1" s="135">
        <v>6027</v>
      </c>
      <c r="SNQ1" s="135">
        <v>6000</v>
      </c>
      <c r="SNR1" s="135">
        <v>162698</v>
      </c>
      <c r="STJ1" s="10">
        <v>68</v>
      </c>
      <c r="STK1" s="10">
        <v>10</v>
      </c>
      <c r="STL1" s="10">
        <v>1</v>
      </c>
      <c r="STM1" s="10">
        <v>20</v>
      </c>
      <c r="STN1" s="10">
        <v>69</v>
      </c>
      <c r="STO1" s="10">
        <v>270</v>
      </c>
      <c r="STQ1" s="10" t="s">
        <v>215</v>
      </c>
      <c r="STR1" s="10" t="s">
        <v>57</v>
      </c>
      <c r="STS1" s="10" t="s">
        <v>68</v>
      </c>
      <c r="STT1" s="10" t="s">
        <v>59</v>
      </c>
      <c r="STU1" s="10" t="s">
        <v>217</v>
      </c>
      <c r="STV1" s="10">
        <v>1</v>
      </c>
      <c r="STW1" s="135">
        <v>7116</v>
      </c>
      <c r="STX1" s="10">
        <v>0</v>
      </c>
      <c r="STY1" s="135">
        <v>7116</v>
      </c>
      <c r="STZ1" s="10">
        <v>269</v>
      </c>
      <c r="SUA1" s="135">
        <v>3084</v>
      </c>
      <c r="SUB1" s="135">
        <v>1186</v>
      </c>
      <c r="SUC1" s="135">
        <v>11860</v>
      </c>
      <c r="SUD1" s="10">
        <v>849</v>
      </c>
      <c r="SUE1" s="10">
        <v>222</v>
      </c>
      <c r="SUF1" s="10">
        <v>530.91999999999996</v>
      </c>
      <c r="SUG1" s="10">
        <v>148</v>
      </c>
      <c r="SUH1" s="10">
        <v>629</v>
      </c>
      <c r="SUI1" s="10">
        <v>389</v>
      </c>
      <c r="SUJ1" s="135">
        <v>3558</v>
      </c>
      <c r="SUK1" s="10">
        <v>285</v>
      </c>
      <c r="SUL1" s="10">
        <v>11</v>
      </c>
      <c r="SUM1" s="10">
        <v>34</v>
      </c>
      <c r="SUN1" s="10">
        <v>9</v>
      </c>
      <c r="SUO1" s="10">
        <v>21</v>
      </c>
      <c r="SUP1" s="10">
        <v>6</v>
      </c>
      <c r="SUQ1" s="10">
        <v>25</v>
      </c>
      <c r="SUR1" s="10">
        <v>16</v>
      </c>
      <c r="SUS1" s="10">
        <v>123</v>
      </c>
      <c r="SUT1" s="10">
        <v>47</v>
      </c>
      <c r="SUU1" s="10">
        <v>142</v>
      </c>
      <c r="SUV1" s="10">
        <v>474</v>
      </c>
      <c r="SUW1" s="135">
        <v>5661</v>
      </c>
      <c r="SUX1" s="135">
        <v>6000</v>
      </c>
      <c r="SUY1" s="135">
        <v>153180</v>
      </c>
      <c r="TAQ1" s="10">
        <v>69</v>
      </c>
      <c r="TAR1" s="10">
        <v>10</v>
      </c>
      <c r="TAS1" s="10">
        <v>1</v>
      </c>
      <c r="TAT1" s="10">
        <v>20</v>
      </c>
      <c r="TAU1" s="10">
        <v>70</v>
      </c>
      <c r="TAV1" s="10">
        <v>270</v>
      </c>
      <c r="TAX1" s="10" t="s">
        <v>218</v>
      </c>
      <c r="TAY1" s="10" t="s">
        <v>57</v>
      </c>
      <c r="TAZ1" s="10" t="s">
        <v>58</v>
      </c>
      <c r="TBA1" s="10" t="s">
        <v>322</v>
      </c>
      <c r="TBB1" s="10" t="s">
        <v>60</v>
      </c>
      <c r="TBC1" s="10">
        <v>1</v>
      </c>
      <c r="TBD1" s="135">
        <v>7713</v>
      </c>
      <c r="TBE1" s="10">
        <v>0</v>
      </c>
      <c r="TBF1" s="135">
        <v>7713</v>
      </c>
      <c r="TBG1" s="10">
        <v>269</v>
      </c>
      <c r="TBH1" s="10">
        <v>0</v>
      </c>
      <c r="TBI1" s="135">
        <v>1286</v>
      </c>
      <c r="TBJ1" s="135">
        <v>12855</v>
      </c>
      <c r="TBK1" s="10">
        <v>918</v>
      </c>
      <c r="TBL1" s="10">
        <v>239</v>
      </c>
      <c r="TBM1" s="10">
        <v>552.95000000000005</v>
      </c>
      <c r="TBN1" s="10">
        <v>160</v>
      </c>
      <c r="TBO1" s="10">
        <v>714</v>
      </c>
      <c r="TBP1" s="10">
        <v>490</v>
      </c>
      <c r="TBQ1" s="135">
        <v>3857</v>
      </c>
      <c r="TBR1" s="10">
        <v>309</v>
      </c>
      <c r="TBS1" s="10">
        <v>11</v>
      </c>
      <c r="TBT1" s="10">
        <v>37</v>
      </c>
      <c r="TBU1" s="10">
        <v>10</v>
      </c>
      <c r="TBV1" s="10">
        <v>22</v>
      </c>
      <c r="TBW1" s="10">
        <v>6</v>
      </c>
      <c r="TBX1" s="10">
        <v>29</v>
      </c>
      <c r="TBY1" s="10">
        <v>20</v>
      </c>
      <c r="TBZ1" s="10">
        <v>0</v>
      </c>
      <c r="TCA1" s="10">
        <v>51</v>
      </c>
      <c r="TCB1" s="10">
        <v>154</v>
      </c>
      <c r="TCC1" s="10">
        <v>514</v>
      </c>
      <c r="TCD1" s="135">
        <v>6027</v>
      </c>
      <c r="TCE1" s="135">
        <v>6000</v>
      </c>
      <c r="TCF1" s="135">
        <v>162698</v>
      </c>
      <c r="THX1" s="10">
        <v>70</v>
      </c>
      <c r="THY1" s="10">
        <v>10</v>
      </c>
      <c r="THZ1" s="10">
        <v>1</v>
      </c>
      <c r="TIA1" s="10">
        <v>20</v>
      </c>
      <c r="TIB1" s="10">
        <v>101</v>
      </c>
      <c r="TIC1" s="10">
        <v>270</v>
      </c>
      <c r="TIE1" s="10" t="s">
        <v>220</v>
      </c>
      <c r="TIF1" s="10" t="s">
        <v>143</v>
      </c>
      <c r="TIG1" s="10" t="s">
        <v>222</v>
      </c>
      <c r="TIH1" s="10" t="s">
        <v>89</v>
      </c>
      <c r="TII1" s="10" t="s">
        <v>89</v>
      </c>
      <c r="TIJ1" s="10">
        <v>1</v>
      </c>
      <c r="TIK1" s="135">
        <v>52580</v>
      </c>
      <c r="TIL1" s="10">
        <v>0</v>
      </c>
      <c r="TIM1" s="135">
        <v>52580</v>
      </c>
      <c r="TIN1" s="10">
        <v>0</v>
      </c>
      <c r="TIO1" s="10">
        <v>0</v>
      </c>
      <c r="TIP1" s="135">
        <v>8763</v>
      </c>
      <c r="TIQ1" s="135">
        <v>87633</v>
      </c>
      <c r="TIR1" s="135">
        <v>6047</v>
      </c>
      <c r="TIS1" s="135">
        <v>1577</v>
      </c>
      <c r="TIT1" s="10">
        <v>1631.75</v>
      </c>
      <c r="TIU1" s="135">
        <v>1052</v>
      </c>
      <c r="TIV1" s="135">
        <v>2057</v>
      </c>
      <c r="TIW1" s="135">
        <v>1611</v>
      </c>
      <c r="TIX1" s="10">
        <v>0</v>
      </c>
      <c r="TIY1" s="135">
        <v>2103</v>
      </c>
      <c r="TIZ1" s="10">
        <v>0</v>
      </c>
      <c r="TJA1" s="10">
        <v>242</v>
      </c>
      <c r="TJB1" s="10">
        <v>63</v>
      </c>
      <c r="TJC1" s="10">
        <v>65</v>
      </c>
      <c r="TJD1" s="10">
        <v>42</v>
      </c>
      <c r="TJE1" s="10">
        <v>82</v>
      </c>
      <c r="TJF1" s="10">
        <v>64</v>
      </c>
      <c r="TJG1" s="10">
        <v>0</v>
      </c>
      <c r="TJH1" s="10">
        <v>351</v>
      </c>
      <c r="TJI1" s="10">
        <v>0</v>
      </c>
      <c r="TJJ1" s="135">
        <v>3505</v>
      </c>
      <c r="TJK1" s="135">
        <v>35802</v>
      </c>
      <c r="TJL1" s="10">
        <v>0</v>
      </c>
      <c r="TJM1" s="135">
        <v>930865</v>
      </c>
      <c r="TPE1" s="10">
        <v>71</v>
      </c>
      <c r="TPF1" s="10">
        <v>10</v>
      </c>
      <c r="TPG1" s="10">
        <v>1</v>
      </c>
      <c r="TPH1" s="10">
        <v>20</v>
      </c>
      <c r="TPI1" s="10">
        <v>71</v>
      </c>
      <c r="TPJ1" s="10">
        <v>270</v>
      </c>
      <c r="TPL1" s="10" t="s">
        <v>223</v>
      </c>
      <c r="TPM1" s="10" t="s">
        <v>57</v>
      </c>
      <c r="TPN1" s="10" t="s">
        <v>68</v>
      </c>
      <c r="TPO1" s="10" t="s">
        <v>59</v>
      </c>
      <c r="TPP1" s="10" t="s">
        <v>60</v>
      </c>
      <c r="TPQ1" s="10">
        <v>1</v>
      </c>
      <c r="TPR1" s="135">
        <v>7116</v>
      </c>
      <c r="TPS1" s="10">
        <v>0</v>
      </c>
      <c r="TPT1" s="135">
        <v>7116</v>
      </c>
      <c r="TPU1" s="10">
        <v>269</v>
      </c>
      <c r="TPV1" s="10">
        <v>0</v>
      </c>
      <c r="TPW1" s="135">
        <v>1186</v>
      </c>
      <c r="TPX1" s="135">
        <v>11860</v>
      </c>
      <c r="TPY1" s="10">
        <v>849</v>
      </c>
      <c r="TPZ1" s="10">
        <v>222</v>
      </c>
      <c r="TQA1" s="10">
        <v>530.91999999999996</v>
      </c>
      <c r="TQB1" s="10">
        <v>148</v>
      </c>
      <c r="TQC1" s="10">
        <v>629</v>
      </c>
      <c r="TQD1" s="10">
        <v>389</v>
      </c>
      <c r="TQE1" s="135">
        <v>3558</v>
      </c>
      <c r="TQF1" s="10">
        <v>285</v>
      </c>
      <c r="TQG1" s="10">
        <v>11</v>
      </c>
      <c r="TQH1" s="10">
        <v>34</v>
      </c>
      <c r="TQI1" s="10">
        <v>9</v>
      </c>
      <c r="TQJ1" s="10">
        <v>21</v>
      </c>
      <c r="TQK1" s="10">
        <v>6</v>
      </c>
      <c r="TQL1" s="10">
        <v>25</v>
      </c>
      <c r="TQM1" s="10">
        <v>16</v>
      </c>
      <c r="TQN1" s="10">
        <v>0</v>
      </c>
      <c r="TQO1" s="10">
        <v>47</v>
      </c>
      <c r="TQP1" s="10">
        <v>142</v>
      </c>
      <c r="TQQ1" s="10">
        <v>474</v>
      </c>
      <c r="TQR1" s="135">
        <v>5537</v>
      </c>
      <c r="TQS1" s="135">
        <v>6000</v>
      </c>
      <c r="TQT1" s="135">
        <v>149973</v>
      </c>
      <c r="TWL1" s="10">
        <v>72</v>
      </c>
      <c r="TWM1" s="10">
        <v>10</v>
      </c>
      <c r="TWN1" s="10">
        <v>1</v>
      </c>
      <c r="TWO1" s="10">
        <v>20</v>
      </c>
      <c r="TWP1" s="10">
        <v>72</v>
      </c>
      <c r="TWQ1" s="10">
        <v>270</v>
      </c>
      <c r="TWS1" s="10" t="s">
        <v>225</v>
      </c>
      <c r="TWT1" s="10" t="s">
        <v>57</v>
      </c>
      <c r="TWU1" s="10" t="s">
        <v>68</v>
      </c>
      <c r="TWV1" s="10" t="s">
        <v>59</v>
      </c>
      <c r="TWW1" s="10" t="s">
        <v>60</v>
      </c>
      <c r="TWX1" s="10">
        <v>1</v>
      </c>
      <c r="TWY1" s="135">
        <v>7116</v>
      </c>
      <c r="TWZ1" s="10">
        <v>0</v>
      </c>
      <c r="TXA1" s="135">
        <v>7116</v>
      </c>
      <c r="TXB1" s="10">
        <v>404</v>
      </c>
      <c r="TXC1" s="10">
        <v>0</v>
      </c>
      <c r="TXD1" s="135">
        <v>1186</v>
      </c>
      <c r="TXE1" s="135">
        <v>11860</v>
      </c>
      <c r="TXF1" s="10">
        <v>865</v>
      </c>
      <c r="TXG1" s="10">
        <v>226</v>
      </c>
      <c r="TXH1" s="10">
        <v>534.07000000000005</v>
      </c>
      <c r="TXI1" s="10">
        <v>150</v>
      </c>
      <c r="TXJ1" s="10">
        <v>629</v>
      </c>
      <c r="TXK1" s="10">
        <v>389</v>
      </c>
      <c r="TXL1" s="135">
        <v>3558</v>
      </c>
      <c r="TXM1" s="10">
        <v>285</v>
      </c>
      <c r="TXN1" s="10">
        <v>16</v>
      </c>
      <c r="TXO1" s="10">
        <v>35</v>
      </c>
      <c r="TXP1" s="10">
        <v>9</v>
      </c>
      <c r="TXQ1" s="10">
        <v>21</v>
      </c>
      <c r="TXR1" s="10">
        <v>6</v>
      </c>
      <c r="TXS1" s="10">
        <v>25</v>
      </c>
      <c r="TXT1" s="10">
        <v>16</v>
      </c>
      <c r="TXU1" s="10">
        <v>0</v>
      </c>
      <c r="TXV1" s="10">
        <v>47</v>
      </c>
      <c r="TXW1" s="10">
        <v>142</v>
      </c>
      <c r="TXX1" s="10">
        <v>474</v>
      </c>
      <c r="TXY1" s="135">
        <v>5614</v>
      </c>
      <c r="TXZ1" s="135">
        <v>6000</v>
      </c>
      <c r="TYA1" s="135">
        <v>151969</v>
      </c>
      <c r="UDS1" s="10">
        <v>73</v>
      </c>
      <c r="UDT1" s="10">
        <v>10</v>
      </c>
      <c r="UDU1" s="10">
        <v>1</v>
      </c>
      <c r="UDV1" s="10">
        <v>20</v>
      </c>
      <c r="UDW1" s="10">
        <v>73</v>
      </c>
      <c r="UDX1" s="10">
        <v>270</v>
      </c>
      <c r="UDZ1" s="10" t="s">
        <v>227</v>
      </c>
      <c r="UEA1" s="10" t="s">
        <v>57</v>
      </c>
      <c r="UEB1" s="10" t="s">
        <v>120</v>
      </c>
      <c r="UEC1" s="10" t="s">
        <v>121</v>
      </c>
      <c r="UED1" s="10" t="s">
        <v>74</v>
      </c>
      <c r="UEE1" s="10">
        <v>1</v>
      </c>
      <c r="UEF1" s="135">
        <v>10348</v>
      </c>
      <c r="UEG1" s="10">
        <v>0</v>
      </c>
      <c r="UEH1" s="135">
        <v>10348</v>
      </c>
      <c r="UEI1" s="10">
        <v>471</v>
      </c>
      <c r="UEJ1" s="10">
        <v>0</v>
      </c>
      <c r="UEK1" s="135">
        <v>1725</v>
      </c>
      <c r="UEL1" s="135">
        <v>17246</v>
      </c>
      <c r="UEM1" s="135">
        <v>1244</v>
      </c>
      <c r="UEN1" s="10">
        <v>325</v>
      </c>
      <c r="UEO1" s="10">
        <v>633.79</v>
      </c>
      <c r="UEP1" s="10">
        <v>216</v>
      </c>
      <c r="UEQ1" s="10">
        <v>936</v>
      </c>
      <c r="UER1" s="10">
        <v>650</v>
      </c>
      <c r="UES1" s="135">
        <v>5174</v>
      </c>
      <c r="UET1" s="10">
        <v>414</v>
      </c>
      <c r="UEU1" s="10">
        <v>19</v>
      </c>
      <c r="UEV1" s="10">
        <v>50</v>
      </c>
      <c r="UEW1" s="10">
        <v>13</v>
      </c>
      <c r="UEX1" s="10">
        <v>25</v>
      </c>
      <c r="UEY1" s="10">
        <v>9</v>
      </c>
      <c r="UEZ1" s="10">
        <v>37</v>
      </c>
      <c r="UFA1" s="10">
        <v>26</v>
      </c>
      <c r="UFB1" s="10">
        <v>0</v>
      </c>
      <c r="UFC1" s="10">
        <v>69</v>
      </c>
      <c r="UFD1" s="10">
        <v>207</v>
      </c>
      <c r="UFE1" s="10">
        <v>690</v>
      </c>
      <c r="UFF1" s="135">
        <v>8081</v>
      </c>
      <c r="UFG1" s="135">
        <v>6000</v>
      </c>
      <c r="UFH1" s="135">
        <v>216108</v>
      </c>
      <c r="UKZ1" s="10">
        <v>74</v>
      </c>
      <c r="ULA1" s="10">
        <v>10</v>
      </c>
      <c r="ULB1" s="10">
        <v>1</v>
      </c>
      <c r="ULC1" s="10">
        <v>20</v>
      </c>
      <c r="ULD1" s="10">
        <v>74</v>
      </c>
      <c r="ULE1" s="10">
        <v>270</v>
      </c>
      <c r="ULG1" s="10" t="s">
        <v>229</v>
      </c>
      <c r="ULH1" s="10" t="s">
        <v>57</v>
      </c>
      <c r="ULI1" s="10" t="s">
        <v>64</v>
      </c>
      <c r="ULJ1" s="10" t="s">
        <v>65</v>
      </c>
      <c r="ULK1" s="10" t="s">
        <v>60</v>
      </c>
      <c r="ULL1" s="10">
        <v>1</v>
      </c>
      <c r="ULM1" s="135">
        <v>6852</v>
      </c>
      <c r="ULN1" s="10">
        <v>0</v>
      </c>
      <c r="ULO1" s="135">
        <v>6852</v>
      </c>
      <c r="ULP1" s="10">
        <v>404</v>
      </c>
      <c r="ULQ1" s="10">
        <v>0</v>
      </c>
      <c r="ULR1" s="135">
        <v>1142</v>
      </c>
      <c r="ULS1" s="135">
        <v>11421</v>
      </c>
      <c r="ULT1" s="10">
        <v>834</v>
      </c>
      <c r="ULU1" s="10">
        <v>218</v>
      </c>
      <c r="ULV1" s="10">
        <v>526.38</v>
      </c>
      <c r="ULW1" s="10">
        <v>145</v>
      </c>
      <c r="ULX1" s="10">
        <v>619</v>
      </c>
      <c r="ULY1" s="10">
        <v>379</v>
      </c>
      <c r="ULZ1" s="135">
        <v>3426</v>
      </c>
      <c r="UMA1" s="10">
        <v>274</v>
      </c>
      <c r="UMB1" s="10">
        <v>16</v>
      </c>
      <c r="UMC1" s="10">
        <v>33</v>
      </c>
      <c r="UMD1" s="10">
        <v>9</v>
      </c>
      <c r="UME1" s="10">
        <v>21</v>
      </c>
      <c r="UMF1" s="10">
        <v>6</v>
      </c>
      <c r="UMG1" s="10">
        <v>25</v>
      </c>
      <c r="UMH1" s="10">
        <v>15</v>
      </c>
      <c r="UMI1" s="10">
        <v>0</v>
      </c>
      <c r="UMJ1" s="10">
        <v>46</v>
      </c>
      <c r="UMK1" s="10">
        <v>137</v>
      </c>
      <c r="UML1" s="10">
        <v>457</v>
      </c>
      <c r="UMM1" s="135">
        <v>5429</v>
      </c>
      <c r="UMN1" s="135">
        <v>6000</v>
      </c>
      <c r="UMO1" s="135">
        <v>147150</v>
      </c>
      <c r="USG1" s="10">
        <v>75</v>
      </c>
      <c r="USH1" s="10">
        <v>10</v>
      </c>
      <c r="USI1" s="10">
        <v>1</v>
      </c>
      <c r="USJ1" s="10">
        <v>20</v>
      </c>
      <c r="USK1" s="10">
        <v>75</v>
      </c>
      <c r="USL1" s="10">
        <v>270</v>
      </c>
      <c r="USN1" s="10" t="s">
        <v>231</v>
      </c>
      <c r="USO1" s="10" t="s">
        <v>57</v>
      </c>
      <c r="USP1" s="10" t="s">
        <v>68</v>
      </c>
      <c r="USQ1" s="10" t="s">
        <v>59</v>
      </c>
      <c r="USR1" s="10" t="s">
        <v>60</v>
      </c>
      <c r="USS1" s="10">
        <v>1</v>
      </c>
      <c r="UST1" s="135">
        <v>7116</v>
      </c>
      <c r="USU1" s="10">
        <v>0</v>
      </c>
      <c r="USV1" s="135">
        <v>7116</v>
      </c>
      <c r="USW1" s="10">
        <v>269</v>
      </c>
      <c r="USX1" s="10">
        <v>0</v>
      </c>
      <c r="USY1" s="135">
        <v>1186</v>
      </c>
      <c r="USZ1" s="135">
        <v>11860</v>
      </c>
      <c r="UTA1" s="10">
        <v>849</v>
      </c>
      <c r="UTB1" s="10">
        <v>222</v>
      </c>
      <c r="UTC1" s="10">
        <v>530.91999999999996</v>
      </c>
      <c r="UTD1" s="10">
        <v>148</v>
      </c>
      <c r="UTE1" s="10">
        <v>629</v>
      </c>
      <c r="UTF1" s="10">
        <v>389</v>
      </c>
      <c r="UTG1" s="135">
        <v>3558</v>
      </c>
      <c r="UTH1" s="10">
        <v>285</v>
      </c>
      <c r="UTI1" s="10">
        <v>11</v>
      </c>
      <c r="UTJ1" s="10">
        <v>34</v>
      </c>
      <c r="UTK1" s="10">
        <v>9</v>
      </c>
      <c r="UTL1" s="10">
        <v>21</v>
      </c>
      <c r="UTM1" s="10">
        <v>6</v>
      </c>
      <c r="UTN1" s="10">
        <v>25</v>
      </c>
      <c r="UTO1" s="10">
        <v>16</v>
      </c>
      <c r="UTP1" s="10">
        <v>0</v>
      </c>
      <c r="UTQ1" s="10">
        <v>47</v>
      </c>
      <c r="UTR1" s="10">
        <v>142</v>
      </c>
      <c r="UTS1" s="10">
        <v>474</v>
      </c>
      <c r="UTT1" s="135">
        <v>5537</v>
      </c>
      <c r="UTU1" s="135">
        <v>6000</v>
      </c>
      <c r="UTV1" s="135">
        <v>149973</v>
      </c>
      <c r="VAA1" s="135"/>
      <c r="VAC1" s="135"/>
      <c r="VAF1" s="135"/>
      <c r="VAG1" s="135"/>
      <c r="VAH1" s="135"/>
      <c r="VAL1" s="135"/>
      <c r="VAM1" s="135"/>
      <c r="VAN1" s="135"/>
      <c r="VAO1" s="135"/>
      <c r="VAZ1" s="135"/>
      <c r="VBA1" s="135"/>
      <c r="VBC1" s="135"/>
      <c r="VGU1" s="10">
        <v>77</v>
      </c>
      <c r="VGV1" s="10">
        <v>10</v>
      </c>
      <c r="VGW1" s="10">
        <v>1</v>
      </c>
      <c r="VGX1" s="10">
        <v>20</v>
      </c>
      <c r="VGY1" s="10">
        <v>76</v>
      </c>
      <c r="VGZ1" s="10">
        <v>270</v>
      </c>
      <c r="VHB1" s="10" t="s">
        <v>233</v>
      </c>
      <c r="VHC1" s="10" t="s">
        <v>57</v>
      </c>
      <c r="VHD1" s="10" t="s">
        <v>68</v>
      </c>
      <c r="VHE1" s="10" t="s">
        <v>59</v>
      </c>
      <c r="VHF1" s="10" t="s">
        <v>60</v>
      </c>
      <c r="VHG1" s="10">
        <v>1</v>
      </c>
      <c r="VHH1" s="135">
        <v>7116</v>
      </c>
      <c r="VHI1" s="10">
        <v>0</v>
      </c>
      <c r="VHJ1" s="135">
        <v>7116</v>
      </c>
      <c r="VHK1" s="10">
        <v>336</v>
      </c>
      <c r="VHL1" s="10">
        <v>0</v>
      </c>
      <c r="VHM1" s="135">
        <v>1186</v>
      </c>
      <c r="VHN1" s="135">
        <v>11860</v>
      </c>
      <c r="VHO1" s="10">
        <v>857</v>
      </c>
      <c r="VHP1" s="10">
        <v>224</v>
      </c>
      <c r="VHQ1" s="10">
        <v>532.5</v>
      </c>
      <c r="VHR1" s="10">
        <v>149</v>
      </c>
      <c r="VHS1" s="10">
        <v>629</v>
      </c>
      <c r="VHT1" s="10">
        <v>389</v>
      </c>
      <c r="VHU1" s="135">
        <v>3558</v>
      </c>
      <c r="VHV1" s="10">
        <v>285</v>
      </c>
      <c r="VHW1" s="10">
        <v>13</v>
      </c>
      <c r="VHX1" s="10">
        <v>34</v>
      </c>
      <c r="VHY1" s="10">
        <v>9</v>
      </c>
      <c r="VHZ1" s="10">
        <v>21</v>
      </c>
      <c r="VIA1" s="10">
        <v>6</v>
      </c>
      <c r="VIB1" s="10">
        <v>25</v>
      </c>
      <c r="VIC1" s="10">
        <v>16</v>
      </c>
      <c r="VID1" s="10">
        <v>0</v>
      </c>
      <c r="VIE1" s="10">
        <v>47</v>
      </c>
      <c r="VIF1" s="10">
        <v>142</v>
      </c>
      <c r="VIG1" s="10">
        <v>474</v>
      </c>
      <c r="VIH1" s="135">
        <v>5576</v>
      </c>
      <c r="VII1" s="135">
        <v>6000</v>
      </c>
      <c r="VIJ1" s="135">
        <v>150971</v>
      </c>
      <c r="VOB1" s="10">
        <v>78</v>
      </c>
      <c r="VOC1" s="10">
        <v>10</v>
      </c>
      <c r="VOD1" s="10">
        <v>1</v>
      </c>
      <c r="VOE1" s="10">
        <v>20</v>
      </c>
      <c r="VOF1" s="10">
        <v>77</v>
      </c>
      <c r="VOG1" s="10">
        <v>270</v>
      </c>
      <c r="VOI1" s="10" t="s">
        <v>235</v>
      </c>
      <c r="VOJ1" s="10" t="s">
        <v>57</v>
      </c>
      <c r="VOK1" s="10" t="s">
        <v>64</v>
      </c>
      <c r="VOL1" s="10" t="s">
        <v>65</v>
      </c>
      <c r="VOM1" s="10" t="s">
        <v>60</v>
      </c>
      <c r="VON1" s="10">
        <v>1</v>
      </c>
      <c r="VOO1" s="135">
        <v>6852</v>
      </c>
      <c r="VOP1" s="10">
        <v>0</v>
      </c>
      <c r="VOQ1" s="135">
        <v>6852</v>
      </c>
      <c r="VOR1" s="10">
        <v>269</v>
      </c>
      <c r="VOS1" s="10">
        <v>0</v>
      </c>
      <c r="VOT1" s="135">
        <v>1142</v>
      </c>
      <c r="VOU1" s="135">
        <v>11421</v>
      </c>
      <c r="VOV1" s="10">
        <v>819</v>
      </c>
      <c r="VOW1" s="10">
        <v>214</v>
      </c>
      <c r="VOX1" s="10">
        <v>523.24</v>
      </c>
      <c r="VOY1" s="10">
        <v>142</v>
      </c>
      <c r="VOZ1" s="10">
        <v>619</v>
      </c>
      <c r="VPA1" s="10">
        <v>379</v>
      </c>
      <c r="VPB1" s="135">
        <v>3426</v>
      </c>
      <c r="VPC1" s="10">
        <v>274</v>
      </c>
      <c r="VPD1" s="10">
        <v>11</v>
      </c>
      <c r="VPE1" s="10">
        <v>33</v>
      </c>
      <c r="VPF1" s="10">
        <v>9</v>
      </c>
      <c r="VPG1" s="10">
        <v>21</v>
      </c>
      <c r="VPH1" s="10">
        <v>6</v>
      </c>
      <c r="VPI1" s="10">
        <v>25</v>
      </c>
      <c r="VPJ1" s="10">
        <v>15</v>
      </c>
      <c r="VPK1" s="10">
        <v>0</v>
      </c>
      <c r="VPL1" s="10">
        <v>46</v>
      </c>
      <c r="VPM1" s="10">
        <v>137</v>
      </c>
      <c r="VPN1" s="10">
        <v>457</v>
      </c>
      <c r="VPO1" s="135">
        <v>5352</v>
      </c>
      <c r="VPP1" s="135">
        <v>6000</v>
      </c>
      <c r="VPQ1" s="135">
        <v>145154</v>
      </c>
      <c r="VVI1" s="10">
        <v>79</v>
      </c>
      <c r="VVJ1" s="10">
        <v>10</v>
      </c>
      <c r="VVK1" s="10">
        <v>1</v>
      </c>
      <c r="VVL1" s="10">
        <v>20</v>
      </c>
      <c r="VVM1" s="10">
        <v>78</v>
      </c>
      <c r="VVN1" s="10">
        <v>270</v>
      </c>
      <c r="VVP1" s="10" t="s">
        <v>237</v>
      </c>
      <c r="VVQ1" s="10" t="s">
        <v>143</v>
      </c>
      <c r="VVR1" s="10" t="s">
        <v>144</v>
      </c>
      <c r="VVS1" s="10" t="s">
        <v>239</v>
      </c>
      <c r="VVT1" s="10" t="s">
        <v>74</v>
      </c>
      <c r="VVU1" s="10">
        <v>1</v>
      </c>
      <c r="VVV1" s="135">
        <v>15425</v>
      </c>
      <c r="VVW1" s="10">
        <v>0</v>
      </c>
      <c r="VVX1" s="135">
        <v>15425</v>
      </c>
      <c r="VVY1" s="10">
        <v>0</v>
      </c>
      <c r="VVZ1" s="10">
        <v>0</v>
      </c>
      <c r="VWA1" s="135">
        <v>2571</v>
      </c>
      <c r="VWB1" s="135">
        <v>25709</v>
      </c>
      <c r="VWC1" s="135">
        <v>1774</v>
      </c>
      <c r="VWD1" s="10">
        <v>463</v>
      </c>
      <c r="VWE1" s="10">
        <v>785.18</v>
      </c>
      <c r="VWF1" s="10">
        <v>309</v>
      </c>
      <c r="VWG1" s="135">
        <v>1206</v>
      </c>
      <c r="VWH1" s="10">
        <v>755</v>
      </c>
      <c r="VWI1" s="135">
        <v>7713</v>
      </c>
      <c r="VWJ1" s="10">
        <v>617</v>
      </c>
      <c r="VWK1" s="10">
        <v>0</v>
      </c>
      <c r="VWL1" s="10">
        <v>71</v>
      </c>
      <c r="VWM1" s="10">
        <v>19</v>
      </c>
      <c r="VWN1" s="10">
        <v>31</v>
      </c>
      <c r="VWO1" s="10">
        <v>12</v>
      </c>
      <c r="VWP1" s="10">
        <v>48</v>
      </c>
      <c r="VWQ1" s="10">
        <v>30</v>
      </c>
      <c r="VWR1" s="10">
        <v>0</v>
      </c>
      <c r="VWS1" s="10">
        <v>103</v>
      </c>
      <c r="VWT1" s="10">
        <v>309</v>
      </c>
      <c r="VWU1" s="135">
        <v>1028</v>
      </c>
      <c r="VWV1" s="135">
        <v>11384</v>
      </c>
      <c r="VWW1" s="10">
        <v>0</v>
      </c>
      <c r="VWX1" s="135">
        <v>295973</v>
      </c>
      <c r="WCP1" s="10">
        <v>80</v>
      </c>
      <c r="WCQ1" s="10">
        <v>10</v>
      </c>
      <c r="WCR1" s="10">
        <v>1</v>
      </c>
      <c r="WCS1" s="10">
        <v>20</v>
      </c>
      <c r="WCT1" s="10">
        <v>79</v>
      </c>
      <c r="WCU1" s="10">
        <v>270</v>
      </c>
      <c r="WCW1" s="10" t="s">
        <v>323</v>
      </c>
      <c r="WCX1" s="10" t="s">
        <v>57</v>
      </c>
      <c r="WCY1" s="10" t="s">
        <v>92</v>
      </c>
      <c r="WCZ1" s="10" t="s">
        <v>59</v>
      </c>
      <c r="WDA1" s="10" t="s">
        <v>60</v>
      </c>
      <c r="WDB1" s="10">
        <v>1</v>
      </c>
      <c r="WDC1" s="135">
        <v>10823</v>
      </c>
      <c r="WDD1" s="10">
        <v>0</v>
      </c>
      <c r="WDE1" s="135">
        <v>10823</v>
      </c>
      <c r="WDF1" s="10">
        <v>471</v>
      </c>
      <c r="WDG1" s="10">
        <v>0</v>
      </c>
      <c r="WDH1" s="135">
        <v>1804</v>
      </c>
      <c r="WDI1" s="135">
        <v>18038</v>
      </c>
      <c r="WDJ1" s="135">
        <v>1299</v>
      </c>
      <c r="WDK1" s="10">
        <v>339</v>
      </c>
      <c r="WDL1" s="10">
        <v>647.9</v>
      </c>
      <c r="WDM1" s="10">
        <v>226</v>
      </c>
      <c r="WDN1" s="10">
        <v>951</v>
      </c>
      <c r="WDO1" s="10">
        <v>665</v>
      </c>
      <c r="WDP1" s="135">
        <v>5411</v>
      </c>
      <c r="WDQ1" s="10">
        <v>433</v>
      </c>
      <c r="WDR1" s="10">
        <v>19</v>
      </c>
      <c r="WDS1" s="10">
        <v>52</v>
      </c>
      <c r="WDT1" s="10">
        <v>14</v>
      </c>
      <c r="WDU1" s="10">
        <v>26</v>
      </c>
      <c r="WDV1" s="10">
        <v>9</v>
      </c>
      <c r="WDW1" s="10">
        <v>38</v>
      </c>
      <c r="WDX1" s="10">
        <v>27</v>
      </c>
      <c r="WDY1" s="10">
        <v>0</v>
      </c>
      <c r="WDZ1" s="10">
        <v>72</v>
      </c>
      <c r="WEA1" s="10">
        <v>216</v>
      </c>
      <c r="WEB1" s="10">
        <v>722</v>
      </c>
      <c r="WEC1" s="135">
        <v>8412</v>
      </c>
      <c r="WED1" s="135">
        <v>6000</v>
      </c>
      <c r="WEE1" s="135">
        <v>224715</v>
      </c>
      <c r="WJW1" s="10">
        <v>81</v>
      </c>
      <c r="WJX1" s="10">
        <v>10</v>
      </c>
      <c r="WJY1" s="10">
        <v>1</v>
      </c>
      <c r="WJZ1" s="10">
        <v>20</v>
      </c>
      <c r="WKA1" s="10">
        <v>80</v>
      </c>
      <c r="WKB1" s="10">
        <v>270</v>
      </c>
      <c r="WKD1" s="10" t="s">
        <v>240</v>
      </c>
      <c r="WKE1" s="10" t="s">
        <v>57</v>
      </c>
      <c r="WKF1" s="10" t="s">
        <v>68</v>
      </c>
      <c r="WKG1" s="10" t="s">
        <v>59</v>
      </c>
      <c r="WKH1" s="10" t="s">
        <v>60</v>
      </c>
      <c r="WKI1" s="10">
        <v>1</v>
      </c>
      <c r="WKJ1" s="135">
        <v>7116</v>
      </c>
      <c r="WKK1" s="10">
        <v>0</v>
      </c>
      <c r="WKL1" s="135">
        <v>7116</v>
      </c>
      <c r="WKM1" s="10">
        <v>336</v>
      </c>
      <c r="WKN1" s="10">
        <v>0</v>
      </c>
      <c r="WKO1" s="135">
        <v>1186</v>
      </c>
      <c r="WKP1" s="135">
        <v>11860</v>
      </c>
      <c r="WKQ1" s="10">
        <v>857</v>
      </c>
      <c r="WKR1" s="10">
        <v>224</v>
      </c>
      <c r="WKS1" s="10">
        <v>532.5</v>
      </c>
      <c r="WKT1" s="10">
        <v>149</v>
      </c>
      <c r="WKU1" s="10">
        <v>629</v>
      </c>
      <c r="WKV1" s="10">
        <v>389</v>
      </c>
      <c r="WKW1" s="135">
        <v>3558</v>
      </c>
      <c r="WKX1" s="10">
        <v>285</v>
      </c>
      <c r="WKY1" s="10">
        <v>13</v>
      </c>
      <c r="WKZ1" s="10">
        <v>34</v>
      </c>
      <c r="WLA1" s="10">
        <v>9</v>
      </c>
      <c r="WLB1" s="10">
        <v>21</v>
      </c>
      <c r="WLC1" s="10">
        <v>6</v>
      </c>
      <c r="WLD1" s="10">
        <v>25</v>
      </c>
      <c r="WLE1" s="10">
        <v>16</v>
      </c>
      <c r="WLF1" s="10">
        <v>0</v>
      </c>
      <c r="WLG1" s="10">
        <v>47</v>
      </c>
      <c r="WLH1" s="10">
        <v>142</v>
      </c>
      <c r="WLI1" s="10">
        <v>474</v>
      </c>
      <c r="WLJ1" s="135">
        <v>5576</v>
      </c>
      <c r="WLK1" s="135">
        <v>6000</v>
      </c>
      <c r="WLL1" s="135">
        <v>150971</v>
      </c>
      <c r="WRD1" s="10">
        <v>82</v>
      </c>
      <c r="WRE1" s="10">
        <v>10</v>
      </c>
      <c r="WRF1" s="10">
        <v>1</v>
      </c>
      <c r="WRG1" s="10">
        <v>20</v>
      </c>
      <c r="WRH1" s="10">
        <v>81</v>
      </c>
      <c r="WRI1" s="10">
        <v>270</v>
      </c>
      <c r="WRK1" s="10" t="s">
        <v>242</v>
      </c>
      <c r="WRL1" s="10" t="s">
        <v>57</v>
      </c>
      <c r="WRM1" s="10" t="s">
        <v>130</v>
      </c>
      <c r="WRN1" s="10" t="s">
        <v>316</v>
      </c>
      <c r="WRO1" s="10" t="s">
        <v>60</v>
      </c>
      <c r="WRP1" s="10">
        <v>1</v>
      </c>
      <c r="WRQ1" s="135">
        <v>9861</v>
      </c>
      <c r="WRR1" s="10">
        <v>0</v>
      </c>
      <c r="WRS1" s="135">
        <v>9861</v>
      </c>
      <c r="WRT1" s="10">
        <v>404</v>
      </c>
      <c r="WRU1" s="10">
        <v>0</v>
      </c>
      <c r="WRV1" s="135">
        <v>1644</v>
      </c>
      <c r="WRW1" s="135">
        <v>16435</v>
      </c>
      <c r="WRX1" s="135">
        <v>1180</v>
      </c>
      <c r="WRY1" s="10">
        <v>308</v>
      </c>
      <c r="WRZ1" s="10">
        <v>621.27</v>
      </c>
      <c r="WSA1" s="10">
        <v>205</v>
      </c>
      <c r="WSB1" s="10">
        <v>926</v>
      </c>
      <c r="WSC1" s="10">
        <v>578</v>
      </c>
      <c r="WSD1" s="135">
        <v>4931</v>
      </c>
      <c r="WSE1" s="10">
        <v>394</v>
      </c>
      <c r="WSF1" s="10">
        <v>16</v>
      </c>
      <c r="WSG1" s="10">
        <v>47</v>
      </c>
      <c r="WSH1" s="10">
        <v>12</v>
      </c>
      <c r="WSI1" s="10">
        <v>25</v>
      </c>
      <c r="WSJ1" s="10">
        <v>8</v>
      </c>
      <c r="WSK1" s="10">
        <v>37</v>
      </c>
      <c r="WSL1" s="10">
        <v>23</v>
      </c>
      <c r="WSM1" s="10">
        <v>0</v>
      </c>
      <c r="WSN1" s="10">
        <v>66</v>
      </c>
      <c r="WSO1" s="10">
        <v>197</v>
      </c>
      <c r="WSP1" s="10">
        <v>657</v>
      </c>
      <c r="WSQ1" s="135">
        <v>7681</v>
      </c>
      <c r="WSR1" s="135">
        <v>6000</v>
      </c>
      <c r="WSS1" s="135">
        <v>205694</v>
      </c>
    </row>
    <row r="2" spans="1:941 1089:3020 3168:3965 4113:5099 5247:6044 6192:8123 8271:10202 10350:11147 11295:12281 12429:13226 13374:15305 15453:16061" s="10" customFormat="1" ht="63" hidden="1" customHeight="1" x14ac:dyDescent="0.25">
      <c r="A2" s="129"/>
      <c r="B2" s="129"/>
      <c r="D2" s="130"/>
      <c r="E2" s="130"/>
      <c r="F2" s="130"/>
      <c r="G2" s="131"/>
      <c r="H2" s="130"/>
      <c r="I2" s="130"/>
      <c r="K2" s="132"/>
      <c r="M2" s="7"/>
      <c r="N2" s="7"/>
      <c r="P2" s="7"/>
      <c r="Q2" s="7"/>
      <c r="R2" s="7"/>
      <c r="S2" s="7"/>
      <c r="T2" s="7"/>
      <c r="U2" s="136" t="s">
        <v>324</v>
      </c>
      <c r="V2" s="136"/>
      <c r="W2" s="136"/>
      <c r="X2" s="137"/>
      <c r="Y2" s="136"/>
      <c r="Z2" s="136"/>
      <c r="AA2" s="137"/>
      <c r="AB2" s="136"/>
      <c r="AC2" s="136"/>
      <c r="AD2" s="136"/>
      <c r="AE2" s="136"/>
      <c r="AF2" s="136"/>
      <c r="AG2" s="136"/>
      <c r="AH2" s="136"/>
      <c r="AI2" s="7"/>
      <c r="AJ2" s="7"/>
      <c r="AK2" s="138" t="s">
        <v>7</v>
      </c>
      <c r="AL2" s="13"/>
      <c r="AM2" s="46"/>
      <c r="AN2" s="46"/>
      <c r="AO2" s="46"/>
      <c r="AP2" s="46"/>
      <c r="AQ2" s="46"/>
      <c r="AR2" s="46"/>
      <c r="AS2" s="46"/>
      <c r="AT2" s="46"/>
      <c r="AU2" s="46"/>
    </row>
    <row r="3" spans="1:941 1089:3020 3168:3965 4113:5099 5247:6044 6192:8123 8271:10202 10350:11147 11295:12281 12429:13226 13374:15305 15453:16061" s="10" customFormat="1" ht="20.25" hidden="1" customHeight="1" x14ac:dyDescent="0.25">
      <c r="A3" s="129"/>
      <c r="B3" s="139" t="s">
        <v>325</v>
      </c>
      <c r="C3" s="140"/>
      <c r="D3" s="129"/>
      <c r="E3" s="129"/>
      <c r="F3" s="130"/>
      <c r="G3" s="131"/>
      <c r="I3" s="130"/>
      <c r="K3" s="132"/>
      <c r="M3" s="7"/>
      <c r="N3" s="7"/>
      <c r="P3" s="7"/>
      <c r="Q3" s="7"/>
      <c r="R3" s="7"/>
      <c r="S3" s="7"/>
      <c r="T3" s="7"/>
      <c r="U3" s="141"/>
      <c r="V3" s="8"/>
      <c r="W3" s="8"/>
      <c r="X3" s="9"/>
      <c r="Y3" s="8"/>
      <c r="Z3" s="8"/>
      <c r="AA3" s="9"/>
      <c r="AB3" s="8"/>
      <c r="AC3" s="8"/>
      <c r="AD3" s="8"/>
      <c r="AE3" s="8"/>
      <c r="AF3" s="8"/>
      <c r="AG3" s="8"/>
      <c r="AH3" s="8"/>
      <c r="AI3" s="7"/>
      <c r="AJ3" s="7"/>
      <c r="AK3" s="142"/>
      <c r="AL3" s="13"/>
      <c r="AM3" s="46"/>
      <c r="AN3" s="46"/>
      <c r="AO3" s="46"/>
      <c r="AP3" s="46"/>
      <c r="AQ3" s="46"/>
      <c r="AR3" s="46"/>
      <c r="AS3" s="46"/>
      <c r="AT3" s="46"/>
      <c r="AU3" s="46"/>
    </row>
    <row r="4" spans="1:941 1089:3020 3168:3965 4113:5099 5247:6044 6192:8123 8271:10202 10350:11147 11295:12281 12429:13226 13374:15305 15453:16061" s="10" customFormat="1" ht="18" hidden="1" customHeight="1" x14ac:dyDescent="0.25">
      <c r="A4" s="129"/>
      <c r="B4" s="129"/>
      <c r="I4" s="130"/>
      <c r="J4" s="188" t="s">
        <v>311</v>
      </c>
      <c r="K4" s="189"/>
      <c r="L4" s="189"/>
      <c r="M4" s="189"/>
      <c r="N4" s="189"/>
      <c r="O4" s="190"/>
      <c r="P4" s="143"/>
      <c r="Q4" s="191" t="s">
        <v>311</v>
      </c>
      <c r="R4" s="192"/>
      <c r="S4" s="192"/>
      <c r="T4" s="192"/>
      <c r="U4" s="144" t="s">
        <v>312</v>
      </c>
      <c r="V4" s="145"/>
      <c r="W4" s="145"/>
      <c r="X4" s="146"/>
      <c r="Y4" s="145"/>
      <c r="Z4" s="145"/>
      <c r="AA4" s="146"/>
      <c r="AB4" s="145"/>
      <c r="AC4" s="145"/>
      <c r="AD4" s="145"/>
      <c r="AE4" s="145"/>
      <c r="AF4" s="145"/>
      <c r="AG4" s="145"/>
      <c r="AH4" s="145"/>
      <c r="AI4" s="144" t="s">
        <v>312</v>
      </c>
      <c r="AJ4" s="147"/>
      <c r="AK4" s="148"/>
      <c r="AL4" s="149"/>
      <c r="AM4" s="47"/>
      <c r="AN4" s="29"/>
      <c r="AO4" s="29"/>
      <c r="AP4" s="46"/>
      <c r="AQ4" s="46"/>
      <c r="AR4" s="46"/>
      <c r="AS4" s="46"/>
      <c r="AT4" s="46"/>
      <c r="AU4" s="46"/>
    </row>
    <row r="5" spans="1:941 1089:3020 3168:3965 4113:5099 5247:6044 6192:8123 8271:10202 10350:11147 11295:12281 12429:13226 13374:15305 15453:16061" s="10" customFormat="1" ht="57" hidden="1" customHeight="1" x14ac:dyDescent="0.25">
      <c r="A5" s="150" t="s">
        <v>15</v>
      </c>
      <c r="B5" s="2"/>
      <c r="C5" s="151" t="s">
        <v>17</v>
      </c>
      <c r="D5" s="151" t="s">
        <v>19</v>
      </c>
      <c r="E5" s="151" t="s">
        <v>20</v>
      </c>
      <c r="F5" s="129" t="s">
        <v>326</v>
      </c>
      <c r="G5" s="10" t="s">
        <v>327</v>
      </c>
      <c r="H5" s="130" t="s">
        <v>328</v>
      </c>
      <c r="I5" s="130" t="s">
        <v>329</v>
      </c>
      <c r="J5" s="130" t="s">
        <v>330</v>
      </c>
      <c r="K5" s="130" t="s">
        <v>331</v>
      </c>
      <c r="L5" s="130" t="s">
        <v>332</v>
      </c>
      <c r="M5" s="7" t="s">
        <v>333</v>
      </c>
      <c r="N5" s="7" t="s">
        <v>334</v>
      </c>
      <c r="O5" s="10" t="s">
        <v>335</v>
      </c>
      <c r="P5" s="130" t="s">
        <v>336</v>
      </c>
      <c r="Q5" s="7" t="s">
        <v>337</v>
      </c>
      <c r="R5" s="7" t="s">
        <v>338</v>
      </c>
      <c r="S5" s="7" t="s">
        <v>339</v>
      </c>
      <c r="T5" s="7" t="s">
        <v>340</v>
      </c>
      <c r="U5" s="141" t="s">
        <v>341</v>
      </c>
      <c r="V5" s="8"/>
      <c r="W5" s="8"/>
      <c r="X5" s="9"/>
      <c r="Y5" s="8"/>
      <c r="Z5" s="8"/>
      <c r="AA5" s="9"/>
      <c r="AB5" s="8"/>
      <c r="AC5" s="8"/>
      <c r="AD5" s="8"/>
      <c r="AE5" s="8"/>
      <c r="AF5" s="8"/>
      <c r="AG5" s="8"/>
      <c r="AH5" s="8" t="s">
        <v>342</v>
      </c>
      <c r="AI5" s="11" t="s">
        <v>343</v>
      </c>
      <c r="AJ5" s="7" t="s">
        <v>344</v>
      </c>
      <c r="AK5" s="142" t="s">
        <v>345</v>
      </c>
      <c r="AL5" s="13" t="s">
        <v>346</v>
      </c>
      <c r="AM5" s="14" t="s">
        <v>296</v>
      </c>
      <c r="AN5" s="29"/>
      <c r="AO5" s="29"/>
      <c r="AP5" s="46"/>
      <c r="AQ5" s="46"/>
      <c r="AR5" s="58"/>
      <c r="AS5" s="58"/>
      <c r="AT5" s="58"/>
      <c r="AU5" s="58"/>
    </row>
    <row r="6" spans="1:941 1089:3020 3168:3965 4113:5099 5247:6044 6192:8123 8271:10202 10350:11147 11295:12281 12429:13226 13374:15305 15453:16061" s="10" customFormat="1" ht="82.5" customHeight="1" x14ac:dyDescent="0.25">
      <c r="A6" s="3"/>
      <c r="B6" s="4" t="s">
        <v>0</v>
      </c>
      <c r="C6" s="2"/>
      <c r="D6" s="2"/>
      <c r="E6" s="2"/>
      <c r="F6" s="5"/>
      <c r="G6" s="1"/>
      <c r="H6" s="6"/>
      <c r="I6" s="6"/>
      <c r="J6" s="6"/>
      <c r="K6" s="6"/>
      <c r="L6" s="6"/>
      <c r="M6" s="7" t="s">
        <v>1</v>
      </c>
      <c r="N6" s="7"/>
      <c r="O6" s="1"/>
      <c r="P6" s="6"/>
      <c r="Q6" s="7"/>
      <c r="R6" s="7"/>
      <c r="S6" s="7"/>
      <c r="T6" s="7"/>
      <c r="U6" s="8"/>
      <c r="V6" s="8"/>
      <c r="W6" s="8"/>
      <c r="X6" s="9"/>
      <c r="Y6" s="8"/>
      <c r="Z6" s="8"/>
      <c r="AA6" s="9"/>
      <c r="AB6" s="8"/>
      <c r="AC6" s="8"/>
      <c r="AD6" s="8"/>
      <c r="AE6" s="8"/>
      <c r="AF6" s="8"/>
      <c r="AG6" s="8"/>
      <c r="AH6" s="8"/>
      <c r="AI6" s="11"/>
      <c r="AJ6" s="7"/>
      <c r="AK6" s="12"/>
      <c r="AL6" s="13"/>
      <c r="AM6" s="14"/>
      <c r="AN6" s="15"/>
      <c r="AO6" s="15"/>
      <c r="AP6" s="16"/>
      <c r="AQ6" s="16"/>
      <c r="AR6" s="17"/>
      <c r="AS6" s="17"/>
      <c r="AT6" s="17"/>
      <c r="AU6" s="17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941 1089:3020 3168:3965 4113:5099 5247:6044 6192:8123 8271:10202 10350:11147 11295:12281 12429:13226 13374:15305 15453:16061" s="1" customFormat="1" ht="27.75" customHeight="1" x14ac:dyDescent="0.25">
      <c r="A7" s="2"/>
      <c r="B7" s="18" t="s">
        <v>2</v>
      </c>
      <c r="C7" s="2"/>
      <c r="D7" s="2"/>
      <c r="E7" s="2"/>
      <c r="F7" s="5"/>
      <c r="G7" s="19" t="s">
        <v>3</v>
      </c>
      <c r="H7" s="7"/>
      <c r="I7" s="6"/>
      <c r="J7" s="6"/>
      <c r="K7" s="6"/>
      <c r="L7" s="6"/>
      <c r="M7" s="7"/>
      <c r="N7" s="7"/>
      <c r="P7" s="6"/>
      <c r="Q7" s="7"/>
      <c r="R7" s="7"/>
      <c r="S7" s="7"/>
      <c r="T7" s="7"/>
      <c r="U7" s="8"/>
      <c r="V7" s="8"/>
      <c r="W7" s="8"/>
      <c r="X7" s="9"/>
      <c r="Y7" s="8"/>
      <c r="Z7" s="8"/>
      <c r="AA7" s="9"/>
      <c r="AB7" s="8"/>
      <c r="AC7" s="8"/>
      <c r="AD7" s="8"/>
      <c r="AE7" s="8"/>
      <c r="AF7" s="8"/>
      <c r="AG7" s="8"/>
      <c r="AH7" s="8"/>
      <c r="AI7" s="11"/>
      <c r="AJ7" s="7"/>
      <c r="AK7" s="12"/>
      <c r="AL7" s="13"/>
      <c r="AM7" s="14"/>
      <c r="AN7" s="15"/>
      <c r="AO7" s="15"/>
      <c r="AP7" s="16"/>
      <c r="AQ7" s="16"/>
      <c r="AR7" s="17"/>
      <c r="AS7" s="17"/>
      <c r="AT7" s="17"/>
      <c r="AU7" s="17"/>
    </row>
    <row r="8" spans="1:941 1089:3020 3168:3965 4113:5099 5247:6044 6192:8123 8271:10202 10350:11147 11295:12281 12429:13226 13374:15305 15453:16061" s="20" customFormat="1" ht="96" customHeight="1" x14ac:dyDescent="0.25">
      <c r="A8" s="22"/>
      <c r="B8" s="23" t="s">
        <v>347</v>
      </c>
      <c r="D8" s="21"/>
      <c r="E8" s="21"/>
      <c r="I8" s="193" t="s">
        <v>5</v>
      </c>
      <c r="J8" s="194"/>
      <c r="K8" s="194"/>
      <c r="L8" s="194"/>
      <c r="M8" s="195"/>
      <c r="N8" s="196" t="s">
        <v>6</v>
      </c>
      <c r="O8" s="197"/>
      <c r="P8" s="197"/>
      <c r="Q8" s="197"/>
      <c r="R8" s="198"/>
      <c r="S8" s="196" t="s">
        <v>7</v>
      </c>
      <c r="T8" s="199"/>
      <c r="U8" s="186"/>
      <c r="V8" s="187"/>
      <c r="W8" s="187"/>
      <c r="X8" s="187"/>
      <c r="Y8" s="24"/>
      <c r="AA8" s="25"/>
      <c r="AI8" s="186" t="s">
        <v>8</v>
      </c>
      <c r="AJ8" s="187"/>
      <c r="AK8" s="187"/>
      <c r="AL8" s="187"/>
    </row>
    <row r="9" spans="1:941 1089:3020 3168:3965 4113:5099 5247:6044 6192:8123 8271:10202 10350:11147 11295:12281 12429:13226 13374:15305 15453:16061" s="10" customFormat="1" ht="68.25" thickBot="1" x14ac:dyDescent="0.3">
      <c r="A9" s="152" t="s">
        <v>15</v>
      </c>
      <c r="B9" s="152" t="s">
        <v>16</v>
      </c>
      <c r="C9" s="152" t="s">
        <v>348</v>
      </c>
      <c r="D9" s="27" t="s">
        <v>19</v>
      </c>
      <c r="E9" s="27" t="s">
        <v>20</v>
      </c>
      <c r="F9" s="27" t="s">
        <v>21</v>
      </c>
      <c r="G9" s="27" t="s">
        <v>22</v>
      </c>
      <c r="H9" s="152" t="s">
        <v>23</v>
      </c>
      <c r="I9" s="152" t="s">
        <v>24</v>
      </c>
      <c r="J9" s="152" t="s">
        <v>25</v>
      </c>
      <c r="K9" s="152" t="s">
        <v>26</v>
      </c>
      <c r="L9" s="152" t="s">
        <v>27</v>
      </c>
      <c r="M9" s="152" t="s">
        <v>28</v>
      </c>
      <c r="N9" s="152" t="s">
        <v>29</v>
      </c>
      <c r="O9" s="152" t="s">
        <v>30</v>
      </c>
      <c r="P9" s="152" t="s">
        <v>31</v>
      </c>
      <c r="Q9" s="152" t="s">
        <v>32</v>
      </c>
      <c r="R9" s="152" t="s">
        <v>33</v>
      </c>
      <c r="S9" s="152" t="s">
        <v>34</v>
      </c>
      <c r="T9" s="152" t="s">
        <v>35</v>
      </c>
      <c r="U9" s="152" t="s">
        <v>36</v>
      </c>
      <c r="V9" s="152" t="s">
        <v>37</v>
      </c>
      <c r="W9" s="152" t="s">
        <v>38</v>
      </c>
      <c r="X9" s="152" t="s">
        <v>39</v>
      </c>
      <c r="Y9" s="152" t="s">
        <v>40</v>
      </c>
      <c r="Z9" s="152" t="s">
        <v>41</v>
      </c>
      <c r="AA9" s="152" t="s">
        <v>42</v>
      </c>
      <c r="AB9" s="152" t="s">
        <v>43</v>
      </c>
      <c r="AC9" s="152" t="s">
        <v>44</v>
      </c>
      <c r="AD9" s="152" t="s">
        <v>45</v>
      </c>
      <c r="AE9" s="152" t="s">
        <v>46</v>
      </c>
      <c r="AF9" s="152" t="s">
        <v>47</v>
      </c>
      <c r="AG9" s="152" t="s">
        <v>48</v>
      </c>
      <c r="AH9" s="152" t="s">
        <v>49</v>
      </c>
      <c r="AI9" s="152" t="s">
        <v>50</v>
      </c>
      <c r="AJ9" s="152" t="s">
        <v>51</v>
      </c>
      <c r="AK9" s="152" t="s">
        <v>52</v>
      </c>
      <c r="AL9" s="152" t="s">
        <v>53</v>
      </c>
      <c r="AM9" s="28"/>
      <c r="AN9" s="29"/>
      <c r="AO9" s="29"/>
      <c r="AP9" s="29"/>
      <c r="AQ9" s="29"/>
      <c r="AR9" s="30"/>
      <c r="AS9" s="30"/>
      <c r="AT9" s="30"/>
      <c r="AU9" s="30"/>
    </row>
    <row r="10" spans="1:941 1089:3020 3168:3965 4113:5099 5247:6044 6192:8123 8271:10202 10350:11147 11295:12281 12429:13226 13374:15305 15453:16061" x14ac:dyDescent="0.25">
      <c r="A10" s="32"/>
      <c r="B10" s="34" t="s">
        <v>349</v>
      </c>
      <c r="C10" s="59" t="s">
        <v>350</v>
      </c>
      <c r="D10" s="33">
        <v>4</v>
      </c>
      <c r="E10" s="33">
        <v>30</v>
      </c>
      <c r="F10" s="33" t="s">
        <v>57</v>
      </c>
      <c r="G10" s="38" t="s">
        <v>68</v>
      </c>
      <c r="H10" s="153" t="s">
        <v>59</v>
      </c>
      <c r="I10" s="153" t="s">
        <v>60</v>
      </c>
      <c r="J10" s="40">
        <v>7491</v>
      </c>
      <c r="K10" s="40">
        <v>0</v>
      </c>
      <c r="L10" s="40">
        <f>+J10+K10</f>
        <v>7491</v>
      </c>
      <c r="M10" s="40">
        <v>682</v>
      </c>
      <c r="N10" s="40">
        <v>412</v>
      </c>
      <c r="O10" s="40">
        <v>0</v>
      </c>
      <c r="P10" s="40">
        <f>L10/30*25%*52</f>
        <v>3246.1</v>
      </c>
      <c r="Q10" s="40"/>
      <c r="R10" s="40"/>
      <c r="S10" s="41">
        <v>547.96</v>
      </c>
      <c r="T10" s="40"/>
      <c r="U10" s="40">
        <f>L10/30*15</f>
        <v>3745.5</v>
      </c>
      <c r="V10" s="154">
        <v>0</v>
      </c>
      <c r="W10" s="154"/>
      <c r="X10" s="40"/>
      <c r="Y10" s="40"/>
      <c r="Z10" s="40">
        <f>Q10*4%</f>
        <v>0</v>
      </c>
      <c r="AA10" s="40">
        <f>(V10+W10)*2%</f>
        <v>0</v>
      </c>
      <c r="AB10" s="154"/>
      <c r="AC10" s="154">
        <f t="shared" ref="AC10:AC13" si="0">T10*4%</f>
        <v>0</v>
      </c>
      <c r="AD10" s="154">
        <v>0</v>
      </c>
      <c r="AE10" s="154">
        <f>V10/30*5</f>
        <v>0</v>
      </c>
      <c r="AF10" s="154">
        <f>V10/30*15</f>
        <v>0</v>
      </c>
      <c r="AG10" s="154">
        <f>V10/30*50</f>
        <v>0</v>
      </c>
      <c r="AH10" s="154">
        <f>SUM(V10+W10+X10+Y10+Z10+AA10+AB10+AC10)*12+(AD10+AE10+AF10+AG10)</f>
        <v>0</v>
      </c>
      <c r="AI10" s="40">
        <f>+L10/30*5</f>
        <v>1248.5</v>
      </c>
      <c r="AJ10" s="40">
        <f>+L10/30*50</f>
        <v>12485</v>
      </c>
      <c r="AK10" s="40">
        <v>7200</v>
      </c>
      <c r="AL10" s="40">
        <f t="shared" ref="AL10:AL14" si="1">(L10+M10+N10+O10+Q10+R10+S10+T10)*12+(P10+AM10+U10+AI10+AJ10+AK10+AH10)</f>
        <v>137520.62</v>
      </c>
      <c r="AM10" s="45"/>
      <c r="AR10" s="30"/>
      <c r="AS10" s="30"/>
      <c r="AT10" s="30"/>
      <c r="AU10" s="30"/>
    </row>
    <row r="11" spans="1:941 1089:3020 3168:3965 4113:5099 5247:6044 6192:8123 8271:10202 10350:11147 11295:12281 12429:13226 13374:15305 15453:16061" x14ac:dyDescent="0.25">
      <c r="A11" s="32"/>
      <c r="B11" s="34" t="s">
        <v>351</v>
      </c>
      <c r="C11" s="59" t="s">
        <v>350</v>
      </c>
      <c r="D11" s="33">
        <v>4</v>
      </c>
      <c r="E11" s="33">
        <v>30</v>
      </c>
      <c r="F11" s="33" t="s">
        <v>57</v>
      </c>
      <c r="G11" s="38" t="s">
        <v>68</v>
      </c>
      <c r="H11" s="153" t="s">
        <v>59</v>
      </c>
      <c r="I11" s="153" t="s">
        <v>60</v>
      </c>
      <c r="J11" s="40">
        <v>7491</v>
      </c>
      <c r="K11" s="40">
        <v>0</v>
      </c>
      <c r="L11" s="40">
        <f t="shared" ref="L11" si="2">+J11+K11</f>
        <v>7491</v>
      </c>
      <c r="M11" s="40">
        <v>682</v>
      </c>
      <c r="N11" s="40">
        <v>412</v>
      </c>
      <c r="O11" s="40">
        <v>0</v>
      </c>
      <c r="P11" s="40">
        <f>L11/30*25%*52</f>
        <v>3246.1</v>
      </c>
      <c r="Q11" s="40"/>
      <c r="R11" s="40"/>
      <c r="S11" s="41">
        <v>533.72</v>
      </c>
      <c r="T11" s="40"/>
      <c r="U11" s="40">
        <f t="shared" ref="U11:U14" si="3">L11/30*15</f>
        <v>3745.5</v>
      </c>
      <c r="V11" s="154">
        <v>0</v>
      </c>
      <c r="W11" s="154"/>
      <c r="X11" s="40"/>
      <c r="Y11" s="40"/>
      <c r="Z11" s="40">
        <f t="shared" ref="Z11:Z14" si="4">Q11*4%</f>
        <v>0</v>
      </c>
      <c r="AA11" s="40">
        <f t="shared" ref="AA11:AA14" si="5">(V11+W11)*2%</f>
        <v>0</v>
      </c>
      <c r="AB11" s="154"/>
      <c r="AC11" s="154">
        <f t="shared" si="0"/>
        <v>0</v>
      </c>
      <c r="AD11" s="154">
        <v>0</v>
      </c>
      <c r="AE11" s="154">
        <f t="shared" ref="AE11:AE14" si="6">V11/30*5</f>
        <v>0</v>
      </c>
      <c r="AF11" s="154">
        <f t="shared" ref="AF11:AF14" si="7">V11/30*15</f>
        <v>0</v>
      </c>
      <c r="AG11" s="154">
        <f t="shared" ref="AG11:AG14" si="8">V11/30*50</f>
        <v>0</v>
      </c>
      <c r="AH11" s="154">
        <f t="shared" ref="AH11:AH14" si="9">SUM(V11+W11+X11+Y11+Z11+AA11+AB11+AC11)*12+(AD11+AE11+AF11+AG11)</f>
        <v>0</v>
      </c>
      <c r="AI11" s="40">
        <f t="shared" ref="AI11:AI14" si="10">+L11/30*5</f>
        <v>1248.5</v>
      </c>
      <c r="AJ11" s="40">
        <f t="shared" ref="AJ11:AJ14" si="11">+L11/30*50</f>
        <v>12485</v>
      </c>
      <c r="AK11" s="40">
        <v>7200</v>
      </c>
      <c r="AL11" s="40">
        <f t="shared" si="1"/>
        <v>137349.74</v>
      </c>
    </row>
    <row r="12" spans="1:941 1089:3020 3168:3965 4113:5099 5247:6044 6192:8123 8271:10202 10350:11147 11295:12281 12429:13226 13374:15305 15453:16061" x14ac:dyDescent="0.25">
      <c r="A12" s="32"/>
      <c r="B12" s="34" t="s">
        <v>352</v>
      </c>
      <c r="C12" s="59" t="s">
        <v>353</v>
      </c>
      <c r="D12" s="33">
        <v>6</v>
      </c>
      <c r="E12" s="33">
        <v>30</v>
      </c>
      <c r="F12" s="33" t="s">
        <v>57</v>
      </c>
      <c r="G12" s="38" t="s">
        <v>58</v>
      </c>
      <c r="H12" s="153" t="s">
        <v>74</v>
      </c>
      <c r="I12" s="153" t="s">
        <v>74</v>
      </c>
      <c r="J12" s="40">
        <v>10155.9</v>
      </c>
      <c r="K12" s="40">
        <v>0</v>
      </c>
      <c r="L12" s="40">
        <f>+J12+K12</f>
        <v>10155.9</v>
      </c>
      <c r="M12" s="40">
        <v>871</v>
      </c>
      <c r="N12" s="40">
        <v>615</v>
      </c>
      <c r="O12" s="40">
        <v>0</v>
      </c>
      <c r="P12" s="40">
        <v>0</v>
      </c>
      <c r="Q12" s="40"/>
      <c r="R12" s="40"/>
      <c r="S12" s="41">
        <v>560.44000000000005</v>
      </c>
      <c r="T12" s="40"/>
      <c r="U12" s="40">
        <f t="shared" si="3"/>
        <v>5077.95</v>
      </c>
      <c r="V12" s="154">
        <v>0</v>
      </c>
      <c r="W12" s="154"/>
      <c r="X12" s="40"/>
      <c r="Y12" s="40"/>
      <c r="Z12" s="40">
        <f t="shared" si="4"/>
        <v>0</v>
      </c>
      <c r="AA12" s="40">
        <f t="shared" si="5"/>
        <v>0</v>
      </c>
      <c r="AB12" s="154"/>
      <c r="AC12" s="154">
        <f t="shared" si="0"/>
        <v>0</v>
      </c>
      <c r="AD12" s="154">
        <v>0</v>
      </c>
      <c r="AE12" s="154">
        <f t="shared" si="6"/>
        <v>0</v>
      </c>
      <c r="AF12" s="154">
        <f t="shared" si="7"/>
        <v>0</v>
      </c>
      <c r="AG12" s="154">
        <f t="shared" si="8"/>
        <v>0</v>
      </c>
      <c r="AH12" s="154">
        <f t="shared" si="9"/>
        <v>0</v>
      </c>
      <c r="AI12" s="40">
        <f t="shared" si="10"/>
        <v>1692.6499999999999</v>
      </c>
      <c r="AJ12" s="40">
        <f t="shared" si="11"/>
        <v>16926.5</v>
      </c>
      <c r="AK12" s="40">
        <v>7200</v>
      </c>
      <c r="AL12" s="40">
        <f t="shared" si="1"/>
        <v>177325.18000000002</v>
      </c>
      <c r="AM12" s="45"/>
      <c r="AR12" s="30"/>
      <c r="AS12" s="30"/>
      <c r="AT12" s="30"/>
      <c r="AU12" s="30"/>
    </row>
    <row r="13" spans="1:941 1089:3020 3168:3965 4113:5099 5247:6044 6192:8123 8271:10202 10350:11147 11295:12281 12429:13226 13374:15305 15453:16061" x14ac:dyDescent="0.25">
      <c r="A13" s="32"/>
      <c r="B13" s="34" t="s">
        <v>354</v>
      </c>
      <c r="C13" s="155" t="s">
        <v>355</v>
      </c>
      <c r="D13" s="33">
        <v>6</v>
      </c>
      <c r="E13" s="33">
        <v>30</v>
      </c>
      <c r="F13" s="33" t="s">
        <v>57</v>
      </c>
      <c r="G13" s="38" t="s">
        <v>286</v>
      </c>
      <c r="H13" s="153" t="s">
        <v>287</v>
      </c>
      <c r="I13" s="153" t="s">
        <v>74</v>
      </c>
      <c r="J13" s="40">
        <v>9633</v>
      </c>
      <c r="K13" s="40">
        <v>0</v>
      </c>
      <c r="L13" s="40">
        <f>+J13+K13</f>
        <v>9633</v>
      </c>
      <c r="M13" s="40">
        <v>871</v>
      </c>
      <c r="N13" s="40">
        <v>615</v>
      </c>
      <c r="O13" s="40">
        <v>0</v>
      </c>
      <c r="P13" s="40">
        <f>L13/30*25%*52</f>
        <v>4174.3</v>
      </c>
      <c r="Q13" s="40"/>
      <c r="R13" s="40"/>
      <c r="S13" s="41">
        <v>528.19000000000005</v>
      </c>
      <c r="T13" s="40"/>
      <c r="U13" s="40">
        <f t="shared" si="3"/>
        <v>4816.5</v>
      </c>
      <c r="V13" s="154">
        <v>0</v>
      </c>
      <c r="W13" s="154"/>
      <c r="X13" s="40"/>
      <c r="Y13" s="40"/>
      <c r="Z13" s="40">
        <f t="shared" si="4"/>
        <v>0</v>
      </c>
      <c r="AA13" s="40">
        <f t="shared" si="5"/>
        <v>0</v>
      </c>
      <c r="AB13" s="154"/>
      <c r="AC13" s="154">
        <f t="shared" si="0"/>
        <v>0</v>
      </c>
      <c r="AD13" s="154">
        <v>0</v>
      </c>
      <c r="AE13" s="154">
        <f t="shared" si="6"/>
        <v>0</v>
      </c>
      <c r="AF13" s="154">
        <f t="shared" si="7"/>
        <v>0</v>
      </c>
      <c r="AG13" s="154">
        <f t="shared" si="8"/>
        <v>0</v>
      </c>
      <c r="AH13" s="154">
        <f t="shared" si="9"/>
        <v>0</v>
      </c>
      <c r="AI13" s="40">
        <f t="shared" si="10"/>
        <v>1605.5</v>
      </c>
      <c r="AJ13" s="40">
        <f t="shared" si="11"/>
        <v>16055.000000000002</v>
      </c>
      <c r="AK13" s="40">
        <v>7200</v>
      </c>
      <c r="AL13" s="40">
        <f t="shared" si="1"/>
        <v>173617.58000000002</v>
      </c>
      <c r="AM13" s="49"/>
      <c r="AR13" s="30"/>
      <c r="AS13" s="30"/>
      <c r="AT13" s="30"/>
      <c r="AU13" s="30"/>
    </row>
    <row r="14" spans="1:941 1089:3020 3168:3965 4113:5099 5247:6044 6192:8123 8271:10202 10350:11147 11295:12281 12429:13226 13374:15305 15453:16061" ht="29.25" customHeight="1" x14ac:dyDescent="0.25">
      <c r="A14" s="32"/>
      <c r="B14" s="34" t="s">
        <v>356</v>
      </c>
      <c r="C14" s="59" t="s">
        <v>64</v>
      </c>
      <c r="D14" s="156">
        <v>3</v>
      </c>
      <c r="E14" s="156">
        <v>30</v>
      </c>
      <c r="F14" s="156" t="s">
        <v>57</v>
      </c>
      <c r="G14" s="157" t="s">
        <v>64</v>
      </c>
      <c r="H14" s="153" t="s">
        <v>65</v>
      </c>
      <c r="I14" s="153" t="s">
        <v>60</v>
      </c>
      <c r="J14" s="40">
        <v>7227.3</v>
      </c>
      <c r="K14" s="40">
        <v>0</v>
      </c>
      <c r="L14" s="40">
        <f>J14+K14</f>
        <v>7227.3</v>
      </c>
      <c r="M14" s="40">
        <v>672</v>
      </c>
      <c r="N14" s="40">
        <v>402</v>
      </c>
      <c r="O14" s="40">
        <v>0</v>
      </c>
      <c r="P14" s="40">
        <v>0</v>
      </c>
      <c r="Q14" s="40"/>
      <c r="R14" s="40"/>
      <c r="S14" s="41">
        <v>533.72</v>
      </c>
      <c r="T14" s="40"/>
      <c r="U14" s="40">
        <f t="shared" si="3"/>
        <v>3613.65</v>
      </c>
      <c r="V14" s="154">
        <v>0</v>
      </c>
      <c r="W14" s="154"/>
      <c r="X14" s="40"/>
      <c r="Y14" s="40"/>
      <c r="Z14" s="40">
        <f t="shared" si="4"/>
        <v>0</v>
      </c>
      <c r="AA14" s="40">
        <f t="shared" si="5"/>
        <v>0</v>
      </c>
      <c r="AB14" s="154"/>
      <c r="AC14" s="154"/>
      <c r="AD14" s="154">
        <v>0</v>
      </c>
      <c r="AE14" s="154">
        <f t="shared" si="6"/>
        <v>0</v>
      </c>
      <c r="AF14" s="154">
        <f t="shared" si="7"/>
        <v>0</v>
      </c>
      <c r="AG14" s="154">
        <f t="shared" si="8"/>
        <v>0</v>
      </c>
      <c r="AH14" s="154">
        <f t="shared" si="9"/>
        <v>0</v>
      </c>
      <c r="AI14" s="40">
        <f t="shared" si="10"/>
        <v>1204.55</v>
      </c>
      <c r="AJ14" s="40">
        <f t="shared" si="11"/>
        <v>12045.5</v>
      </c>
      <c r="AK14" s="40">
        <v>7200</v>
      </c>
      <c r="AL14" s="40">
        <f t="shared" si="1"/>
        <v>130083.93999999999</v>
      </c>
      <c r="AM14" s="47"/>
      <c r="AR14" s="30"/>
      <c r="AS14" s="30"/>
      <c r="AT14" s="30"/>
      <c r="AU14" s="30"/>
    </row>
    <row r="15" spans="1:941 1089:3020 3168:3965 4113:5099 5247:6044 6192:8123 8271:10202 10350:11147 11295:12281 12429:13226 13374:15305 15453:16061" x14ac:dyDescent="0.25">
      <c r="A15" s="158"/>
      <c r="B15" s="159"/>
      <c r="C15" s="160"/>
      <c r="D15" s="161"/>
      <c r="E15" s="162"/>
      <c r="F15" s="162"/>
      <c r="L15" s="165"/>
      <c r="AL15" s="40">
        <f t="shared" ref="AL15" si="12">(L15+M15+N15+O15+P15+Q15+R15+S15+T15)*12+(U15+AI15+AJ15+AK15)</f>
        <v>0</v>
      </c>
      <c r="AM15" s="45"/>
      <c r="AR15" s="30"/>
      <c r="AS15" s="30"/>
      <c r="AT15" s="30"/>
      <c r="AU15" s="30"/>
    </row>
    <row r="16" spans="1:941 1089:3020 3168:3965 4113:5099 5247:6044 6192:8123 8271:10202 10350:11147 11295:12281 12429:13226 13374:15305 15453:16061" x14ac:dyDescent="0.25">
      <c r="A16" s="79"/>
      <c r="B16" s="79"/>
      <c r="C16" s="169"/>
      <c r="D16" s="80"/>
      <c r="E16" s="80"/>
      <c r="F16" s="80"/>
      <c r="G16" s="170"/>
      <c r="H16" s="171"/>
      <c r="I16" s="171"/>
      <c r="J16" s="99"/>
      <c r="K16" s="99"/>
      <c r="L16" s="99"/>
      <c r="M16" s="40"/>
      <c r="N16" s="40"/>
      <c r="O16" s="40"/>
      <c r="P16" s="40"/>
      <c r="Q16" s="40"/>
      <c r="R16" s="40"/>
      <c r="S16" s="172"/>
      <c r="T16" s="40"/>
      <c r="U16" s="40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40"/>
      <c r="AJ16" s="40"/>
      <c r="AK16" s="40"/>
      <c r="AL16" s="76">
        <f>AL10+AL11+AL12+AL13+AL14</f>
        <v>755897.06</v>
      </c>
    </row>
    <row r="17" spans="1:47" x14ac:dyDescent="0.25">
      <c r="A17" s="79"/>
      <c r="B17" s="173"/>
      <c r="H17" s="174"/>
      <c r="I17" s="174"/>
      <c r="J17" s="72">
        <f t="shared" ref="J17:AK17" si="13">SUM(J10:J14)</f>
        <v>41998.200000000004</v>
      </c>
      <c r="K17" s="72">
        <f t="shared" si="13"/>
        <v>0</v>
      </c>
      <c r="L17" s="72">
        <f t="shared" si="13"/>
        <v>41998.200000000004</v>
      </c>
      <c r="M17" s="73">
        <f t="shared" si="13"/>
        <v>3778</v>
      </c>
      <c r="N17" s="73">
        <f t="shared" si="13"/>
        <v>2456</v>
      </c>
      <c r="O17" s="73">
        <f t="shared" si="13"/>
        <v>0</v>
      </c>
      <c r="P17" s="72">
        <f t="shared" si="13"/>
        <v>10666.5</v>
      </c>
      <c r="Q17" s="72">
        <f t="shared" si="13"/>
        <v>0</v>
      </c>
      <c r="R17" s="72">
        <f t="shared" si="13"/>
        <v>0</v>
      </c>
      <c r="S17" s="73">
        <f t="shared" si="13"/>
        <v>2704.0300000000007</v>
      </c>
      <c r="T17" s="72">
        <f t="shared" si="13"/>
        <v>0</v>
      </c>
      <c r="U17" s="72">
        <f t="shared" si="13"/>
        <v>20999.100000000002</v>
      </c>
      <c r="V17" s="72">
        <f t="shared" si="13"/>
        <v>0</v>
      </c>
      <c r="W17" s="72">
        <f t="shared" si="13"/>
        <v>0</v>
      </c>
      <c r="X17" s="73">
        <f t="shared" si="13"/>
        <v>0</v>
      </c>
      <c r="Y17" s="72">
        <f t="shared" si="13"/>
        <v>0</v>
      </c>
      <c r="Z17" s="72">
        <f t="shared" si="13"/>
        <v>0</v>
      </c>
      <c r="AA17" s="73">
        <f t="shared" si="13"/>
        <v>0</v>
      </c>
      <c r="AB17" s="72">
        <f t="shared" si="13"/>
        <v>0</v>
      </c>
      <c r="AC17" s="72">
        <f t="shared" si="13"/>
        <v>0</v>
      </c>
      <c r="AD17" s="72">
        <f t="shared" si="13"/>
        <v>0</v>
      </c>
      <c r="AE17" s="72">
        <f t="shared" si="13"/>
        <v>0</v>
      </c>
      <c r="AF17" s="72">
        <f t="shared" si="13"/>
        <v>0</v>
      </c>
      <c r="AG17" s="72">
        <f t="shared" si="13"/>
        <v>0</v>
      </c>
      <c r="AH17" s="72">
        <f t="shared" si="13"/>
        <v>0</v>
      </c>
      <c r="AI17" s="72">
        <f t="shared" si="13"/>
        <v>6999.7</v>
      </c>
      <c r="AJ17" s="72">
        <f t="shared" si="13"/>
        <v>69997</v>
      </c>
      <c r="AK17" s="72">
        <f t="shared" si="13"/>
        <v>36000</v>
      </c>
      <c r="AL17" s="76">
        <f>SUM(AL16)</f>
        <v>755897.06</v>
      </c>
    </row>
    <row r="18" spans="1:47" x14ac:dyDescent="0.25">
      <c r="B18" s="175"/>
      <c r="C18" s="81"/>
      <c r="D18" s="82"/>
      <c r="E18" s="82"/>
      <c r="F18" s="82"/>
      <c r="J18" s="76">
        <f>SUM(J10:J14)*12</f>
        <v>503978.4</v>
      </c>
      <c r="K18" s="176">
        <f>SUM(K10:K14)*12</f>
        <v>0</v>
      </c>
      <c r="L18" s="176">
        <f>SUM(L10:L14)*12</f>
        <v>503978.4</v>
      </c>
      <c r="M18" s="76">
        <f>M17*12</f>
        <v>45336</v>
      </c>
      <c r="N18" s="76">
        <f>SUM(N17*12)</f>
        <v>29472</v>
      </c>
      <c r="O18" s="76">
        <f>O17*12</f>
        <v>0</v>
      </c>
      <c r="P18" s="72">
        <f>SUM(P10:P15)</f>
        <v>10666.5</v>
      </c>
      <c r="Q18" s="77">
        <f>SUM(Q17*12)</f>
        <v>0</v>
      </c>
      <c r="R18" s="77">
        <f>SUM(R17*12)</f>
        <v>0</v>
      </c>
      <c r="S18" s="76">
        <f>SUM(S17*12)</f>
        <v>32448.360000000008</v>
      </c>
      <c r="T18" s="77">
        <f>SUM(T17*12)</f>
        <v>0</v>
      </c>
      <c r="U18" s="77">
        <f>SUM(U10:U14)</f>
        <v>20999.100000000002</v>
      </c>
      <c r="V18" s="77">
        <f t="shared" ref="V18:AC18" si="14">SUM(V10:V14)*12</f>
        <v>0</v>
      </c>
      <c r="W18" s="77">
        <f t="shared" si="14"/>
        <v>0</v>
      </c>
      <c r="X18" s="76">
        <f t="shared" si="14"/>
        <v>0</v>
      </c>
      <c r="Y18" s="77">
        <f t="shared" si="14"/>
        <v>0</v>
      </c>
      <c r="Z18" s="77">
        <f t="shared" si="14"/>
        <v>0</v>
      </c>
      <c r="AA18" s="76">
        <f t="shared" si="14"/>
        <v>0</v>
      </c>
      <c r="AB18" s="77">
        <f t="shared" si="14"/>
        <v>0</v>
      </c>
      <c r="AC18" s="77">
        <f t="shared" si="14"/>
        <v>0</v>
      </c>
      <c r="AD18" s="77">
        <f>SUM(AD10:AD14)</f>
        <v>0</v>
      </c>
      <c r="AE18" s="77">
        <f>SUM(AE10:AE14)</f>
        <v>0</v>
      </c>
      <c r="AF18" s="77">
        <f>SUM(AF10:AF14)</f>
        <v>0</v>
      </c>
      <c r="AG18" s="77">
        <f>SUM(AG10:AG14)</f>
        <v>0</v>
      </c>
      <c r="AH18" s="76">
        <f>SUM(V18:AG18)</f>
        <v>0</v>
      </c>
      <c r="AI18" s="77">
        <f>SUM(AI10:AI14)</f>
        <v>6999.7</v>
      </c>
      <c r="AJ18" s="77">
        <f>SUM(AJ10:AJ14)</f>
        <v>69997</v>
      </c>
      <c r="AK18" s="76">
        <v>36000</v>
      </c>
      <c r="AL18" s="76">
        <f>SUM(L18:AK18)</f>
        <v>755897.05999999994</v>
      </c>
      <c r="AM18" s="28"/>
      <c r="AR18" s="30"/>
      <c r="AS18" s="30"/>
      <c r="AT18" s="30"/>
      <c r="AU18" s="30"/>
    </row>
    <row r="19" spans="1:47" x14ac:dyDescent="0.25">
      <c r="C19" s="81"/>
      <c r="D19" s="82"/>
      <c r="E19" s="82"/>
      <c r="F19" s="82"/>
      <c r="H19" s="84"/>
      <c r="I19" s="84"/>
      <c r="J19" s="95"/>
      <c r="K19" s="95"/>
      <c r="L19" s="96"/>
      <c r="M19" s="96"/>
      <c r="N19" s="96"/>
      <c r="O19" s="96"/>
      <c r="P19" s="95"/>
      <c r="Q19" s="95"/>
      <c r="R19" s="95"/>
      <c r="S19" s="96"/>
      <c r="T19" s="95"/>
      <c r="U19" s="97"/>
      <c r="V19" s="95"/>
      <c r="W19" s="95"/>
      <c r="X19" s="96"/>
      <c r="Y19" s="95"/>
      <c r="Z19" s="95"/>
      <c r="AA19" s="96"/>
      <c r="AB19" s="95"/>
      <c r="AC19" s="95"/>
      <c r="AD19" s="95"/>
      <c r="AE19" s="95"/>
      <c r="AF19" s="95"/>
      <c r="AG19" s="95"/>
      <c r="AH19" s="98"/>
      <c r="AI19" s="95"/>
      <c r="AJ19" s="97"/>
      <c r="AK19" s="98"/>
      <c r="AL19" s="76">
        <f>SUM(AL10:AL14)</f>
        <v>755897.06</v>
      </c>
      <c r="AM19" s="45"/>
      <c r="AR19" s="30"/>
      <c r="AS19" s="30"/>
      <c r="AT19" s="30"/>
    </row>
    <row r="23" spans="1:47" x14ac:dyDescent="0.25">
      <c r="B23" s="114" t="s">
        <v>293</v>
      </c>
      <c r="C23" s="111"/>
      <c r="G23" s="115" t="s">
        <v>294</v>
      </c>
      <c r="I23" s="111"/>
      <c r="J23" s="116" t="s">
        <v>295</v>
      </c>
    </row>
    <row r="24" spans="1:47" x14ac:dyDescent="0.25">
      <c r="B24" s="116" t="s">
        <v>296</v>
      </c>
      <c r="C24" s="111"/>
      <c r="G24" s="117" t="s">
        <v>297</v>
      </c>
      <c r="I24" s="111"/>
      <c r="J24" s="118" t="s">
        <v>298</v>
      </c>
    </row>
    <row r="25" spans="1:47" x14ac:dyDescent="0.25">
      <c r="B25" s="119"/>
      <c r="C25" s="111"/>
      <c r="G25" s="117"/>
      <c r="I25" s="111"/>
      <c r="J25" s="120"/>
    </row>
    <row r="26" spans="1:47" x14ac:dyDescent="0.25">
      <c r="B26" s="116"/>
      <c r="C26" s="111"/>
      <c r="G26" s="119"/>
      <c r="I26" s="111"/>
      <c r="J26" s="120"/>
    </row>
    <row r="27" spans="1:47" x14ac:dyDescent="0.25">
      <c r="B27" s="119"/>
      <c r="C27" s="111"/>
      <c r="G27" s="119"/>
      <c r="I27" s="111"/>
      <c r="J27" s="120"/>
    </row>
    <row r="28" spans="1:47" x14ac:dyDescent="0.25">
      <c r="B28" s="119"/>
      <c r="C28" s="111"/>
      <c r="G28" s="120"/>
      <c r="I28" s="111"/>
      <c r="J28" s="120"/>
    </row>
    <row r="29" spans="1:47" x14ac:dyDescent="0.25">
      <c r="B29" s="116" t="s">
        <v>295</v>
      </c>
      <c r="C29" s="111"/>
      <c r="G29" s="116" t="s">
        <v>295</v>
      </c>
      <c r="I29" s="111"/>
      <c r="J29" s="121" t="s">
        <v>299</v>
      </c>
    </row>
    <row r="30" spans="1:47" x14ac:dyDescent="0.25">
      <c r="B30" s="118" t="s">
        <v>300</v>
      </c>
      <c r="C30" s="111"/>
      <c r="G30" s="122" t="s">
        <v>301</v>
      </c>
      <c r="I30" s="111"/>
      <c r="J30" s="123" t="s">
        <v>302</v>
      </c>
    </row>
    <row r="31" spans="1:47" x14ac:dyDescent="0.25">
      <c r="B31" s="119"/>
      <c r="C31" s="111"/>
      <c r="G31" s="119"/>
      <c r="I31" s="111"/>
      <c r="J31" s="124"/>
    </row>
    <row r="32" spans="1:47" x14ac:dyDescent="0.25">
      <c r="B32" s="119"/>
      <c r="C32" s="111"/>
      <c r="G32" s="119"/>
      <c r="I32" s="111"/>
      <c r="J32" s="124"/>
    </row>
    <row r="33" spans="2:10" x14ac:dyDescent="0.25">
      <c r="B33" s="119"/>
      <c r="C33" s="111"/>
      <c r="G33" s="119"/>
      <c r="I33" s="111"/>
      <c r="J33" s="124"/>
    </row>
    <row r="34" spans="2:10" x14ac:dyDescent="0.25">
      <c r="B34" s="116" t="s">
        <v>295</v>
      </c>
      <c r="C34" s="111"/>
      <c r="G34" s="116" t="s">
        <v>295</v>
      </c>
      <c r="I34"/>
      <c r="J34" s="125" t="s">
        <v>303</v>
      </c>
    </row>
    <row r="35" spans="2:10" x14ac:dyDescent="0.25">
      <c r="B35" s="118" t="s">
        <v>304</v>
      </c>
      <c r="C35" s="111"/>
      <c r="G35" s="118" t="s">
        <v>305</v>
      </c>
      <c r="I35"/>
      <c r="J35" s="125" t="s">
        <v>306</v>
      </c>
    </row>
    <row r="36" spans="2:10" x14ac:dyDescent="0.25">
      <c r="B36" s="128" t="s">
        <v>307</v>
      </c>
    </row>
    <row r="37" spans="2:10" x14ac:dyDescent="0.25">
      <c r="B37" s="128" t="s">
        <v>308</v>
      </c>
    </row>
  </sheetData>
  <mergeCells count="7">
    <mergeCell ref="AI8:AL8"/>
    <mergeCell ref="J4:O4"/>
    <mergeCell ref="Q4:T4"/>
    <mergeCell ref="I8:M8"/>
    <mergeCell ref="N8:R8"/>
    <mergeCell ref="S8:T8"/>
    <mergeCell ref="U8:X8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2016</vt:lpstr>
      <vt:lpstr>PLANTILLA EVENTUALES </vt:lpstr>
      <vt:lpstr>'PLANTILLA 2016'!Área_de_impresión</vt:lpstr>
      <vt:lpstr>'PLANTILLA EVENTUALES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Contabilidad-ICC</dc:creator>
  <cp:lastModifiedBy>UnidaddeTransparen</cp:lastModifiedBy>
  <dcterms:created xsi:type="dcterms:W3CDTF">2016-02-03T17:41:45Z</dcterms:created>
  <dcterms:modified xsi:type="dcterms:W3CDTF">2016-02-10T18:19:20Z</dcterms:modified>
</cp:coreProperties>
</file>