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riana Rodríguez\Desktop\Artículo 8\V\INCISO N\"/>
    </mc:Choice>
  </mc:AlternateContent>
  <bookViews>
    <workbookView xWindow="0" yWindow="0" windowWidth="20490" windowHeight="7155"/>
  </bookViews>
  <sheets>
    <sheet name="PORTADA_Contable" sheetId="28" r:id="rId1"/>
    <sheet name="ESF" sheetId="29" r:id="rId2"/>
    <sheet name="EA" sheetId="30" r:id="rId3"/>
    <sheet name="EVHP" sheetId="31" r:id="rId4"/>
    <sheet name="EFE" sheetId="32" r:id="rId5"/>
    <sheet name="EAA" sheetId="5" r:id="rId6"/>
    <sheet name="EAD" sheetId="6" r:id="rId7"/>
    <sheet name="Pasivos Contingentes" sheetId="34" r:id="rId8"/>
    <sheet name="Notas E.F." sheetId="8" r:id="rId9"/>
    <sheet name="ECSF" sheetId="33" r:id="rId10"/>
    <sheet name="PORTADA_Presupuestaria" sheetId="11" r:id="rId11"/>
    <sheet name="a) Analítico Ingresos" sheetId="12" r:id="rId12"/>
    <sheet name="b) Clasificación Administrativa" sheetId="13" r:id="rId13"/>
    <sheet name="b) Clasificación Económica CTG" sheetId="14" r:id="rId14"/>
    <sheet name="b) Clasificación COG (Cap-Conc)" sheetId="15" r:id="rId15"/>
    <sheet name="b) Clasificación Funcional CFG" sheetId="16" r:id="rId16"/>
    <sheet name="c) Endeudamiento Neto" sheetId="17" r:id="rId17"/>
    <sheet name="d) Intereses de la Deuda" sheetId="18" r:id="rId18"/>
    <sheet name="e)Indicadores de Postura Fiscal" sheetId="19" r:id="rId19"/>
    <sheet name="PORTADA PROGRAMATICA" sheetId="20" r:id="rId20"/>
    <sheet name="a) Gto x Cat Programatica" sheetId="21" r:id="rId21"/>
    <sheet name="b) Pg y Py de Inversión" sheetId="22" r:id="rId22"/>
    <sheet name="c) Indicadores Resultados" sheetId="23" r:id="rId23"/>
    <sheet name="PORTADA_Anexos" sheetId="24" r:id="rId24"/>
    <sheet name="B. Muebles" sheetId="25" r:id="rId25"/>
    <sheet name="B. Inmuebles" sheetId="26" r:id="rId26"/>
    <sheet name="Rel Ctas Bancarias" sheetId="27" r:id="rId27"/>
  </sheets>
  <definedNames>
    <definedName name="_xlnm.Print_Area" localSheetId="2">EA!$B$1:$L$63</definedName>
    <definedName name="_xlnm.Print_Area" localSheetId="4">EFE!$A$1:$Q$59</definedName>
    <definedName name="_xlnm.Print_Area" localSheetId="1">ESF!$A$1:$L$71</definedName>
    <definedName name="_xlnm.Print_Area" localSheetId="3">EVHP!$A$1:$J$46</definedName>
    <definedName name="_xlnm.Print_Area" localSheetId="7">'Pasivos Contingentes'!$B$1:$B$11</definedName>
    <definedName name="_xlnm.Print_Area" localSheetId="0">PORTADA_Contable!$A$1:$H$25</definedName>
  </definedNames>
  <calcPr calcId="152511"/>
</workbook>
</file>

<file path=xl/calcChain.xml><?xml version="1.0" encoding="utf-8"?>
<calcChain xmlns="http://schemas.openxmlformats.org/spreadsheetml/2006/main">
  <c r="J2803" i="25" l="1"/>
  <c r="J2802" i="25"/>
  <c r="J2801" i="25"/>
  <c r="J2800" i="25"/>
  <c r="J2799" i="25"/>
  <c r="J2798" i="25"/>
  <c r="J2797" i="25"/>
  <c r="J2796" i="25"/>
  <c r="J2795" i="25"/>
  <c r="J2794" i="25"/>
  <c r="J2793" i="25"/>
  <c r="J2792" i="25"/>
  <c r="J2791" i="25"/>
  <c r="J2790" i="25"/>
  <c r="J2789" i="25"/>
  <c r="J2788" i="25"/>
  <c r="J2787" i="25"/>
  <c r="J2786" i="25"/>
  <c r="J2785" i="25"/>
  <c r="J2784" i="25"/>
  <c r="J2783" i="25"/>
  <c r="J2782" i="25"/>
  <c r="J2781" i="25"/>
  <c r="J2780" i="25"/>
  <c r="J2779" i="25"/>
  <c r="J2778" i="25"/>
  <c r="J2777" i="25"/>
  <c r="J2776" i="25"/>
  <c r="J2775" i="25"/>
  <c r="J2774" i="25"/>
  <c r="J2773" i="25"/>
  <c r="J2772" i="25"/>
  <c r="J2771" i="25"/>
  <c r="J2770" i="25"/>
  <c r="J2769" i="25"/>
  <c r="J2768" i="25"/>
  <c r="J2767" i="25"/>
  <c r="J2766" i="25"/>
  <c r="J2765" i="25"/>
  <c r="J2764" i="25"/>
  <c r="J2763" i="25"/>
  <c r="J2762" i="25"/>
  <c r="J2761" i="25"/>
  <c r="J2760" i="25"/>
  <c r="J2759" i="25"/>
  <c r="J2758" i="25"/>
  <c r="J2757" i="25"/>
  <c r="J2756" i="25"/>
  <c r="J2755" i="25"/>
  <c r="J2754" i="25"/>
  <c r="J2753" i="25"/>
  <c r="J2752" i="25"/>
  <c r="J2751" i="25"/>
  <c r="J2750" i="25"/>
  <c r="J2749" i="25"/>
  <c r="J2620" i="25"/>
  <c r="J2619" i="25"/>
  <c r="J2618" i="25"/>
  <c r="J2617" i="25"/>
  <c r="J2616" i="25"/>
  <c r="J2615" i="25"/>
  <c r="J2614" i="25"/>
  <c r="J2613" i="25"/>
  <c r="J2612" i="25"/>
  <c r="J2611" i="25"/>
  <c r="J2610" i="25"/>
  <c r="J2609" i="25"/>
  <c r="J2022" i="25"/>
  <c r="J2021" i="25"/>
  <c r="J2020" i="25"/>
  <c r="J2019" i="25"/>
  <c r="J1928" i="25"/>
  <c r="J1927" i="25"/>
  <c r="J1926" i="25"/>
  <c r="J1925" i="25"/>
  <c r="J1924" i="25"/>
  <c r="J1890" i="25"/>
  <c r="J1889" i="25"/>
  <c r="J1888" i="25"/>
  <c r="J1887" i="25"/>
  <c r="J1886" i="25"/>
  <c r="J1885" i="25"/>
  <c r="J1884" i="25"/>
  <c r="J1883" i="25"/>
  <c r="J1882" i="25"/>
  <c r="J1881" i="25"/>
  <c r="J1872" i="25"/>
  <c r="J1871" i="25"/>
  <c r="J1870" i="25"/>
  <c r="J1869" i="25"/>
  <c r="J1868" i="25"/>
  <c r="J1867" i="25"/>
  <c r="J1866" i="25"/>
  <c r="J1865" i="25"/>
  <c r="J1864" i="25"/>
  <c r="J1863" i="25"/>
  <c r="J1862" i="25"/>
  <c r="J1861" i="25"/>
  <c r="J1860" i="25"/>
  <c r="J1859" i="25"/>
  <c r="J1858" i="25"/>
  <c r="J1857" i="25"/>
  <c r="J1856" i="25"/>
  <c r="J1855" i="25"/>
  <c r="J1854" i="25"/>
  <c r="J1853" i="25"/>
  <c r="J1852" i="25"/>
  <c r="J1851" i="25"/>
  <c r="J1850" i="25"/>
  <c r="J1849" i="25"/>
  <c r="J1848" i="25"/>
  <c r="J1847" i="25"/>
  <c r="J1846" i="25"/>
  <c r="J1845" i="25"/>
  <c r="J1844" i="25"/>
  <c r="J1843" i="25"/>
  <c r="J1842" i="25"/>
  <c r="J1841" i="25"/>
  <c r="J1840" i="25"/>
  <c r="J1839" i="25"/>
  <c r="J1838" i="25"/>
  <c r="J1837" i="25"/>
  <c r="J1836" i="25"/>
  <c r="J1835" i="25"/>
  <c r="J1834" i="25"/>
  <c r="J1833" i="25"/>
  <c r="J1832" i="25"/>
  <c r="J1831" i="25"/>
  <c r="J1830" i="25"/>
  <c r="J1829" i="25"/>
  <c r="J1828" i="25"/>
  <c r="J1827" i="25"/>
  <c r="J1826" i="25"/>
  <c r="J1825" i="25"/>
  <c r="J1824" i="25"/>
  <c r="J1823" i="25"/>
  <c r="J1822" i="25"/>
  <c r="J1821" i="25"/>
  <c r="J1820" i="25"/>
  <c r="J1819" i="25"/>
  <c r="J1818" i="25"/>
  <c r="J1817" i="25"/>
  <c r="J1816" i="25"/>
  <c r="J1364" i="25"/>
  <c r="J1357" i="25"/>
  <c r="J1356" i="25"/>
  <c r="J1355" i="25"/>
  <c r="J1354" i="25"/>
  <c r="J1345" i="25"/>
  <c r="J1341" i="25"/>
  <c r="J1320" i="25"/>
  <c r="J1319" i="25"/>
  <c r="J1318" i="25"/>
  <c r="J1317" i="25"/>
  <c r="J1316" i="25"/>
  <c r="J1274" i="25"/>
  <c r="J1273" i="25"/>
  <c r="J1272" i="25"/>
  <c r="J1271" i="25"/>
  <c r="J1270" i="25"/>
  <c r="J1269" i="25"/>
  <c r="J1268" i="25"/>
  <c r="J1267" i="25"/>
  <c r="J1266" i="25"/>
  <c r="J1265" i="25"/>
  <c r="J1248" i="25"/>
  <c r="J1247" i="25"/>
  <c r="J1246" i="25"/>
  <c r="J1244" i="25"/>
  <c r="J1243" i="25"/>
  <c r="J1242" i="25"/>
  <c r="J1241" i="25"/>
  <c r="J1240" i="25"/>
  <c r="J1239" i="25"/>
  <c r="J1238" i="25"/>
  <c r="J1237" i="25"/>
  <c r="J1234" i="25"/>
  <c r="J1227" i="25"/>
  <c r="J1226" i="25"/>
  <c r="J1225" i="25"/>
  <c r="J1224" i="25"/>
  <c r="J1223" i="25"/>
  <c r="J1222" i="25"/>
  <c r="J1221" i="25"/>
  <c r="J1220" i="25"/>
  <c r="J1219" i="25"/>
  <c r="J1218" i="25"/>
  <c r="J1217" i="25"/>
  <c r="J1216" i="25"/>
  <c r="J1215" i="25"/>
  <c r="J1214" i="25"/>
  <c r="J1213" i="25"/>
  <c r="J1212" i="25"/>
  <c r="J1211" i="25"/>
  <c r="J1210" i="25"/>
  <c r="J1209" i="25"/>
  <c r="J1208" i="25"/>
  <c r="J1207" i="25"/>
  <c r="J1206" i="25"/>
  <c r="J1205" i="25"/>
  <c r="J1204" i="25"/>
  <c r="J1203" i="25"/>
  <c r="J1202" i="25"/>
  <c r="J1184" i="25"/>
  <c r="J1183" i="25"/>
  <c r="J1182" i="25"/>
  <c r="J1176" i="25"/>
  <c r="J1175" i="25"/>
  <c r="J1174" i="25"/>
  <c r="J1169" i="25"/>
  <c r="J1168" i="25"/>
  <c r="J1167" i="25"/>
  <c r="J1166" i="25"/>
  <c r="J1165" i="25"/>
  <c r="J1164" i="25"/>
  <c r="J1163" i="25"/>
  <c r="J1162" i="25"/>
  <c r="J1161" i="25"/>
  <c r="J1160" i="25"/>
  <c r="J1159" i="25"/>
  <c r="J1157" i="25"/>
  <c r="J1156" i="25"/>
  <c r="J1155" i="25"/>
  <c r="J1154" i="25"/>
  <c r="J1153" i="25"/>
  <c r="J1152" i="25"/>
  <c r="J1151" i="25"/>
  <c r="J1150" i="25"/>
  <c r="J1149" i="25"/>
  <c r="J1148" i="25"/>
  <c r="J1147" i="25"/>
  <c r="J1143" i="25"/>
  <c r="J1142" i="25"/>
  <c r="J1141" i="25"/>
  <c r="J1140" i="25"/>
  <c r="J1139" i="25"/>
  <c r="J1138" i="25"/>
  <c r="J1116" i="25"/>
  <c r="J1115" i="25"/>
  <c r="J1105" i="25"/>
  <c r="J1104" i="25"/>
  <c r="J1103" i="25"/>
  <c r="J1102" i="25"/>
  <c r="J1101" i="25"/>
  <c r="J1100" i="25"/>
  <c r="J1099" i="25"/>
  <c r="J1098" i="25"/>
  <c r="J1097" i="25"/>
  <c r="J1096" i="25"/>
  <c r="J1095" i="25"/>
  <c r="J1094" i="25"/>
  <c r="J1093" i="25"/>
  <c r="J1090" i="25"/>
  <c r="J1088" i="25"/>
  <c r="J1087" i="25"/>
  <c r="J1086" i="25"/>
  <c r="J1085" i="25"/>
  <c r="J1084" i="25"/>
  <c r="J1083" i="25"/>
  <c r="J1082" i="25"/>
  <c r="J1081" i="25"/>
  <c r="J1080" i="25"/>
  <c r="J1079" i="25"/>
  <c r="J1078" i="25"/>
  <c r="J1077" i="25"/>
  <c r="J1076" i="25"/>
  <c r="J1075" i="25"/>
  <c r="J1074" i="25"/>
  <c r="J1073" i="25"/>
  <c r="J1072" i="25"/>
  <c r="J1071" i="25"/>
  <c r="J1070" i="25"/>
  <c r="J1069" i="25"/>
  <c r="J1068" i="25"/>
  <c r="J1067" i="25"/>
  <c r="J1066" i="25"/>
  <c r="J1065" i="25"/>
  <c r="J1064" i="25"/>
  <c r="J1063" i="25"/>
  <c r="J1062" i="25"/>
  <c r="J1061" i="25"/>
  <c r="J1060" i="25"/>
  <c r="J1059" i="25"/>
  <c r="J1058" i="25"/>
  <c r="J1057" i="25"/>
  <c r="J1056" i="25"/>
  <c r="J1055" i="25"/>
  <c r="J1054" i="25"/>
  <c r="J1053" i="25"/>
  <c r="J1052" i="25"/>
  <c r="J1051" i="25"/>
  <c r="J1050" i="25"/>
  <c r="J1049" i="25"/>
  <c r="J1048" i="25"/>
  <c r="J1047" i="25"/>
  <c r="J1046" i="25"/>
  <c r="J1045" i="25"/>
  <c r="J1044" i="25"/>
  <c r="J1043" i="25"/>
  <c r="J1042" i="25"/>
  <c r="J1041" i="25"/>
  <c r="J1040" i="25"/>
  <c r="J1039" i="25"/>
  <c r="J1038" i="25"/>
  <c r="J1037" i="25"/>
  <c r="J1034" i="25"/>
  <c r="J1033" i="25"/>
  <c r="J1027" i="25"/>
  <c r="J1026" i="25"/>
  <c r="J1025" i="25"/>
  <c r="J1024" i="25"/>
  <c r="J1023" i="25"/>
  <c r="J1022" i="25"/>
  <c r="J1021" i="25"/>
  <c r="J1020" i="25"/>
  <c r="J1019" i="25"/>
  <c r="J1018" i="25"/>
  <c r="J995" i="25"/>
  <c r="J993" i="25"/>
  <c r="J992" i="25"/>
  <c r="J991" i="25"/>
  <c r="J990" i="25"/>
  <c r="J989" i="25"/>
  <c r="J988" i="25"/>
  <c r="J987" i="25"/>
  <c r="J985" i="25"/>
  <c r="J984" i="25"/>
  <c r="J983" i="25"/>
  <c r="J966" i="25"/>
  <c r="J965" i="25"/>
  <c r="J961" i="25"/>
  <c r="J960" i="25"/>
  <c r="J959" i="25"/>
  <c r="J958" i="25"/>
  <c r="J957" i="25"/>
  <c r="J956" i="25"/>
  <c r="J955" i="25"/>
  <c r="J954" i="25"/>
  <c r="J953" i="25"/>
  <c r="J952" i="25"/>
  <c r="J951" i="25"/>
  <c r="J950" i="25"/>
  <c r="J949" i="25"/>
  <c r="J947" i="25"/>
  <c r="J915" i="25"/>
  <c r="J914" i="25"/>
  <c r="J913" i="25"/>
  <c r="J912" i="25"/>
  <c r="J911" i="25"/>
  <c r="J910" i="25"/>
  <c r="J908" i="25"/>
  <c r="J907" i="25"/>
  <c r="J906" i="25"/>
  <c r="J905" i="25"/>
  <c r="J904" i="25"/>
  <c r="J903" i="25"/>
  <c r="J902" i="25"/>
  <c r="J901" i="25"/>
  <c r="J900" i="25"/>
  <c r="J899" i="25"/>
  <c r="J898" i="25"/>
  <c r="J897" i="25"/>
  <c r="J896" i="25"/>
  <c r="J895" i="25"/>
  <c r="J894" i="25"/>
  <c r="J893" i="25"/>
  <c r="J892" i="25"/>
  <c r="J891" i="25"/>
  <c r="J890" i="25"/>
  <c r="J889" i="25"/>
  <c r="J888" i="25"/>
  <c r="J887" i="25"/>
  <c r="J886" i="25"/>
  <c r="J885" i="25"/>
  <c r="J884" i="25"/>
  <c r="J883" i="25"/>
  <c r="J882" i="25"/>
  <c r="J881" i="25"/>
  <c r="J880" i="25"/>
  <c r="J879" i="25"/>
  <c r="J878" i="25"/>
  <c r="J877" i="25"/>
  <c r="J866" i="25"/>
  <c r="J865" i="25"/>
  <c r="J864" i="25"/>
  <c r="J863" i="25"/>
  <c r="J862" i="25"/>
  <c r="J861" i="25"/>
  <c r="J860" i="25"/>
  <c r="J859" i="25"/>
  <c r="J858" i="25"/>
  <c r="J857" i="25"/>
  <c r="J856" i="25"/>
  <c r="J855" i="25"/>
  <c r="J854" i="25"/>
  <c r="J853" i="25"/>
  <c r="J852" i="25"/>
  <c r="J851" i="25"/>
  <c r="J850" i="25"/>
  <c r="J849" i="25"/>
  <c r="J848" i="25"/>
  <c r="J847" i="25"/>
  <c r="J846" i="25"/>
  <c r="J845" i="25"/>
  <c r="J844" i="25"/>
  <c r="J843" i="25"/>
  <c r="J842" i="25"/>
  <c r="J841" i="25"/>
  <c r="J840" i="25"/>
  <c r="J839" i="25"/>
  <c r="J838" i="25"/>
  <c r="J837" i="25"/>
  <c r="J831" i="25"/>
  <c r="J830" i="25"/>
  <c r="J829" i="25"/>
  <c r="J828" i="25"/>
  <c r="J827" i="25"/>
  <c r="J826" i="25"/>
  <c r="J825" i="25"/>
  <c r="J824" i="25"/>
  <c r="J823" i="25"/>
  <c r="J822" i="25"/>
  <c r="J821" i="25"/>
  <c r="J820" i="25"/>
  <c r="J819" i="25"/>
  <c r="J818" i="25"/>
  <c r="J817" i="25"/>
  <c r="J816" i="25"/>
  <c r="J815" i="25"/>
  <c r="J814" i="25"/>
  <c r="J813" i="25"/>
  <c r="J812" i="25"/>
  <c r="J811" i="25"/>
  <c r="J810" i="25"/>
  <c r="J809" i="25"/>
  <c r="J808" i="25"/>
  <c r="J807" i="25"/>
  <c r="J806" i="25"/>
  <c r="J805" i="25"/>
  <c r="J804" i="25"/>
  <c r="J803" i="25"/>
  <c r="J802" i="25"/>
  <c r="J801" i="25"/>
  <c r="J800" i="25"/>
  <c r="J799" i="25"/>
  <c r="J798" i="25"/>
  <c r="J797" i="25"/>
  <c r="J796" i="25"/>
  <c r="J795" i="25"/>
  <c r="J794" i="25"/>
  <c r="J793" i="25"/>
  <c r="J792" i="25"/>
  <c r="J791" i="25"/>
  <c r="J790" i="25"/>
  <c r="J789" i="25"/>
  <c r="J788" i="25"/>
  <c r="J787" i="25"/>
  <c r="J786" i="25"/>
  <c r="J785" i="25"/>
  <c r="J784" i="25"/>
  <c r="J783" i="25"/>
  <c r="J782" i="25"/>
  <c r="J781" i="25"/>
  <c r="J780" i="25"/>
  <c r="J779" i="25"/>
  <c r="J778" i="25"/>
  <c r="J777" i="25"/>
  <c r="J776" i="25"/>
  <c r="J775" i="25"/>
  <c r="J774" i="25"/>
  <c r="J773" i="25"/>
  <c r="J772" i="25"/>
  <c r="J771" i="25"/>
  <c r="J770" i="25"/>
  <c r="J769" i="25"/>
  <c r="J768" i="25"/>
  <c r="J767" i="25"/>
  <c r="J766" i="25"/>
  <c r="J765" i="25"/>
  <c r="J764" i="25"/>
  <c r="J763" i="25"/>
  <c r="J762" i="25"/>
  <c r="J761" i="25"/>
  <c r="J760" i="25"/>
  <c r="J759" i="25"/>
  <c r="J758" i="25"/>
  <c r="J757" i="25"/>
  <c r="J756" i="25"/>
  <c r="J755" i="25"/>
  <c r="J754" i="25"/>
  <c r="J753" i="25"/>
  <c r="J752" i="25"/>
  <c r="J751" i="25"/>
  <c r="J750" i="25"/>
  <c r="J749" i="25"/>
  <c r="J748" i="25"/>
  <c r="J747" i="25"/>
  <c r="J746" i="25"/>
  <c r="J745" i="25"/>
  <c r="J744" i="25"/>
  <c r="J743" i="25"/>
  <c r="J742" i="25"/>
  <c r="J741" i="25"/>
  <c r="J740" i="25"/>
  <c r="J739" i="25"/>
  <c r="J738" i="25"/>
  <c r="J737" i="25"/>
  <c r="J736" i="25"/>
  <c r="J735" i="25"/>
  <c r="J706" i="25"/>
  <c r="J691" i="25"/>
  <c r="J690" i="25"/>
  <c r="J689" i="25"/>
  <c r="J688" i="25"/>
  <c r="J686" i="25"/>
  <c r="J685" i="25"/>
  <c r="J684" i="25"/>
  <c r="J683" i="25"/>
  <c r="J682" i="25"/>
  <c r="J681" i="25"/>
  <c r="J680" i="25"/>
  <c r="J679" i="25"/>
  <c r="J678" i="25"/>
  <c r="J677" i="25"/>
  <c r="J676" i="25"/>
  <c r="J675" i="25"/>
  <c r="J673" i="25"/>
  <c r="J672" i="25"/>
  <c r="J671" i="25"/>
  <c r="J670" i="25"/>
  <c r="J669" i="25"/>
  <c r="J668" i="25"/>
  <c r="J667" i="25"/>
  <c r="J666" i="25"/>
  <c r="J665" i="25"/>
  <c r="J664" i="25"/>
  <c r="J663" i="25"/>
  <c r="J662" i="25"/>
  <c r="J661" i="25"/>
  <c r="J660" i="25"/>
  <c r="J659" i="25"/>
  <c r="J658" i="25"/>
  <c r="J657" i="25"/>
  <c r="J656" i="25"/>
  <c r="J655" i="25"/>
  <c r="J652" i="25"/>
  <c r="J651" i="25"/>
  <c r="J650" i="25"/>
  <c r="J649" i="25"/>
  <c r="J646" i="25"/>
  <c r="J645" i="25"/>
  <c r="J644" i="25"/>
  <c r="J636" i="25"/>
  <c r="J635" i="25"/>
  <c r="J634" i="25"/>
  <c r="J570" i="25"/>
  <c r="J569" i="25"/>
  <c r="J568" i="25"/>
  <c r="J567" i="25"/>
  <c r="J566" i="25"/>
  <c r="J565" i="25"/>
  <c r="J564" i="25"/>
  <c r="J563" i="25"/>
  <c r="J562" i="25"/>
  <c r="J561" i="25"/>
  <c r="J560" i="25"/>
  <c r="J559" i="25"/>
  <c r="J558" i="25"/>
  <c r="J556" i="25"/>
  <c r="J555" i="25"/>
  <c r="J554" i="25"/>
  <c r="J553" i="25"/>
  <c r="J550" i="25"/>
  <c r="J549" i="25"/>
  <c r="J548" i="25"/>
  <c r="J547" i="25"/>
  <c r="J546" i="25"/>
  <c r="J545" i="25"/>
  <c r="J544" i="25"/>
  <c r="J543" i="25"/>
  <c r="J542" i="25"/>
  <c r="J541" i="25"/>
  <c r="J540" i="25"/>
  <c r="J539" i="25"/>
  <c r="J538" i="25"/>
  <c r="J537" i="25"/>
  <c r="J536" i="25"/>
  <c r="J535" i="25"/>
  <c r="J534" i="25"/>
  <c r="J533" i="25"/>
  <c r="J532" i="25"/>
  <c r="J531" i="25"/>
  <c r="J530" i="25"/>
  <c r="J529" i="25"/>
  <c r="J528" i="25"/>
  <c r="J527" i="25"/>
  <c r="J526" i="25"/>
  <c r="J525" i="25"/>
  <c r="J524" i="25"/>
  <c r="J523" i="25"/>
  <c r="J522" i="25"/>
  <c r="J521" i="25"/>
  <c r="J520" i="25"/>
  <c r="J519" i="25"/>
  <c r="J518" i="25"/>
  <c r="J517" i="25"/>
  <c r="J516" i="25"/>
  <c r="J515" i="25"/>
  <c r="J514" i="25"/>
  <c r="J513" i="25"/>
  <c r="J512" i="25"/>
  <c r="J511" i="25"/>
  <c r="J510" i="25"/>
  <c r="J509" i="25"/>
  <c r="J508" i="25"/>
  <c r="J507" i="25"/>
  <c r="J506" i="25"/>
  <c r="J505" i="25"/>
  <c r="J504" i="25"/>
  <c r="J503" i="25"/>
  <c r="J502" i="25"/>
  <c r="J501" i="25"/>
  <c r="J500" i="25"/>
  <c r="J499" i="25"/>
  <c r="J498" i="25"/>
  <c r="J497" i="25"/>
  <c r="J496" i="25"/>
  <c r="J495" i="25"/>
  <c r="J494" i="25"/>
  <c r="J493" i="25"/>
  <c r="J492" i="25"/>
  <c r="J491" i="25"/>
  <c r="J490" i="25"/>
  <c r="J489" i="25"/>
  <c r="J488" i="25"/>
  <c r="J487" i="25"/>
  <c r="J486" i="25"/>
  <c r="J485" i="25"/>
  <c r="J484" i="25"/>
  <c r="J483" i="25"/>
  <c r="J482" i="25"/>
  <c r="J481" i="25"/>
  <c r="J480" i="25"/>
  <c r="J479" i="25"/>
  <c r="J478" i="25"/>
  <c r="J477" i="25"/>
  <c r="J476" i="25"/>
  <c r="J475" i="25"/>
  <c r="J474" i="25"/>
  <c r="J473" i="25"/>
  <c r="J472" i="25"/>
  <c r="J471" i="25"/>
  <c r="J470" i="25"/>
  <c r="J469" i="25"/>
  <c r="J468" i="25"/>
  <c r="J467" i="25"/>
  <c r="J466" i="25"/>
  <c r="J465" i="25"/>
  <c r="J464" i="25"/>
  <c r="J463" i="25"/>
  <c r="J462" i="25"/>
  <c r="J461" i="25"/>
  <c r="J460" i="25"/>
  <c r="J459" i="25"/>
  <c r="J458" i="25"/>
  <c r="J457" i="25"/>
  <c r="J456" i="25"/>
  <c r="J455" i="25"/>
  <c r="J454" i="25"/>
  <c r="J453" i="25"/>
  <c r="J452" i="25"/>
  <c r="J451" i="25"/>
  <c r="J450" i="25"/>
  <c r="J449" i="25"/>
  <c r="J448" i="25"/>
  <c r="J447" i="25"/>
  <c r="J446" i="25"/>
  <c r="J445" i="25"/>
  <c r="J444" i="25"/>
  <c r="J443" i="25"/>
  <c r="J442" i="25"/>
  <c r="J441" i="25"/>
  <c r="J440" i="25"/>
  <c r="J439" i="25"/>
  <c r="J438" i="25"/>
  <c r="J437" i="25"/>
  <c r="J436" i="25"/>
  <c r="J435" i="25"/>
  <c r="J434" i="25"/>
  <c r="J433" i="25"/>
  <c r="J432" i="25"/>
  <c r="J431" i="25"/>
  <c r="J430" i="25"/>
  <c r="J429" i="25"/>
  <c r="J428" i="25"/>
  <c r="J427" i="25"/>
  <c r="J426" i="25"/>
  <c r="J425" i="25"/>
  <c r="J424" i="25"/>
  <c r="J423" i="25"/>
  <c r="J422" i="25"/>
  <c r="J421" i="25"/>
  <c r="J420" i="25"/>
  <c r="J419" i="25"/>
  <c r="J418" i="25"/>
  <c r="J417" i="25"/>
  <c r="J416" i="25"/>
  <c r="J415" i="25"/>
  <c r="J414" i="25"/>
  <c r="J413" i="25"/>
  <c r="J412" i="25"/>
  <c r="J411" i="25"/>
  <c r="J410" i="25"/>
  <c r="J409" i="25"/>
  <c r="J408" i="25"/>
  <c r="J407" i="25"/>
  <c r="J406" i="25"/>
  <c r="J405" i="25"/>
  <c r="J404" i="25"/>
  <c r="J403" i="25"/>
  <c r="J402" i="25"/>
  <c r="J401" i="25"/>
  <c r="J400" i="25"/>
  <c r="J399" i="25"/>
  <c r="J398" i="25"/>
  <c r="J397" i="25"/>
  <c r="J396" i="25"/>
  <c r="J395" i="25"/>
  <c r="J394" i="25"/>
  <c r="J393" i="25"/>
  <c r="J392" i="25"/>
  <c r="J391" i="25"/>
  <c r="J390" i="25"/>
  <c r="J389" i="25"/>
  <c r="J388" i="25"/>
  <c r="J387" i="25"/>
  <c r="J386" i="25"/>
  <c r="J385" i="25"/>
  <c r="J384" i="25"/>
  <c r="J383" i="25"/>
  <c r="J382" i="25"/>
  <c r="J381" i="25"/>
  <c r="J380" i="25"/>
  <c r="J379" i="25"/>
  <c r="J378" i="25"/>
  <c r="J377" i="25"/>
  <c r="J376" i="25"/>
  <c r="J375" i="25"/>
  <c r="J335" i="25"/>
  <c r="J333" i="25"/>
  <c r="J296" i="25"/>
  <c r="J293" i="25"/>
  <c r="J292" i="25"/>
  <c r="J291" i="25"/>
  <c r="J290" i="25"/>
  <c r="J289" i="25"/>
  <c r="J288" i="25"/>
  <c r="J287" i="25"/>
  <c r="J286" i="25"/>
  <c r="J285" i="25"/>
  <c r="J284" i="25"/>
  <c r="J283" i="25"/>
  <c r="J282" i="25"/>
  <c r="J281" i="25"/>
  <c r="J280" i="25"/>
  <c r="J279" i="25"/>
  <c r="J278" i="25"/>
  <c r="J277" i="25"/>
  <c r="J276" i="25"/>
  <c r="J275" i="25"/>
  <c r="J274" i="25"/>
  <c r="J273" i="25"/>
  <c r="J272" i="25"/>
  <c r="J271" i="25"/>
  <c r="J270" i="25"/>
  <c r="J269" i="25"/>
  <c r="J268" i="25"/>
  <c r="J267" i="25"/>
  <c r="J266" i="25"/>
  <c r="J265" i="25"/>
  <c r="J264" i="25"/>
  <c r="J263" i="25"/>
  <c r="J262" i="25"/>
  <c r="J261" i="25"/>
  <c r="J260" i="25"/>
  <c r="J259" i="25"/>
  <c r="J258" i="25"/>
  <c r="J257" i="25"/>
  <c r="J256" i="25"/>
  <c r="J255" i="25"/>
  <c r="J254" i="25"/>
  <c r="J253" i="25"/>
  <c r="J252" i="25"/>
  <c r="J251" i="25"/>
  <c r="J250" i="25"/>
  <c r="J249" i="25"/>
  <c r="J248" i="25"/>
  <c r="J247" i="25"/>
  <c r="J246" i="25"/>
  <c r="J245" i="25"/>
  <c r="J244" i="25"/>
  <c r="J243" i="25"/>
  <c r="J242" i="25"/>
  <c r="J241" i="25"/>
  <c r="J240" i="25"/>
  <c r="J239" i="25"/>
  <c r="J238" i="25"/>
  <c r="J237" i="25"/>
  <c r="J236" i="25"/>
  <c r="J235" i="25"/>
  <c r="J234" i="25"/>
  <c r="J233" i="25"/>
  <c r="J232" i="25"/>
  <c r="J231" i="25"/>
  <c r="J230" i="25"/>
  <c r="J229" i="25"/>
  <c r="J228" i="25"/>
  <c r="J227" i="25"/>
  <c r="J226" i="25"/>
  <c r="J225" i="25"/>
  <c r="J224" i="25"/>
  <c r="J223" i="25"/>
  <c r="J222" i="25"/>
  <c r="J221" i="25"/>
  <c r="J220" i="25"/>
  <c r="J219" i="25"/>
  <c r="J218" i="25"/>
  <c r="J217" i="25"/>
  <c r="J216" i="25"/>
  <c r="J215" i="25"/>
  <c r="J214" i="25"/>
  <c r="J213" i="25"/>
  <c r="J212" i="25"/>
  <c r="J211" i="25"/>
  <c r="J210" i="25"/>
  <c r="J209" i="25"/>
  <c r="J208" i="25"/>
  <c r="J207" i="25"/>
  <c r="J206" i="25"/>
  <c r="J205" i="25"/>
  <c r="J204" i="25"/>
  <c r="J203" i="25"/>
  <c r="J202" i="25"/>
  <c r="J201" i="25"/>
  <c r="J200" i="25"/>
  <c r="J199" i="25"/>
  <c r="J198" i="25"/>
  <c r="J197" i="25"/>
  <c r="J196" i="25"/>
  <c r="J195" i="25"/>
  <c r="J194" i="25"/>
  <c r="J193" i="25"/>
  <c r="J192" i="25"/>
  <c r="J191" i="25"/>
  <c r="J190" i="25"/>
  <c r="J189" i="25"/>
  <c r="J188" i="25"/>
  <c r="J187" i="25"/>
  <c r="J186" i="25"/>
  <c r="J185" i="25"/>
  <c r="J184" i="25"/>
  <c r="J183" i="25"/>
  <c r="J182" i="25"/>
  <c r="J181" i="25"/>
  <c r="J180" i="25"/>
  <c r="J179" i="25"/>
  <c r="J178" i="25"/>
  <c r="J177" i="25"/>
  <c r="J176" i="25"/>
  <c r="J175" i="25"/>
  <c r="J174" i="25"/>
  <c r="J173" i="25"/>
  <c r="J172" i="25"/>
  <c r="J171" i="25"/>
  <c r="J170" i="25"/>
  <c r="J169" i="25"/>
  <c r="J168" i="25"/>
  <c r="J167" i="25"/>
  <c r="J166" i="25"/>
  <c r="J165" i="25"/>
  <c r="J164" i="25"/>
  <c r="J163" i="25"/>
  <c r="J162" i="25"/>
  <c r="J161" i="25"/>
  <c r="J160" i="25"/>
  <c r="J159" i="25"/>
  <c r="J158" i="25"/>
  <c r="J157" i="25"/>
  <c r="J156" i="25"/>
  <c r="J155" i="25"/>
  <c r="J154" i="25"/>
  <c r="J153" i="25"/>
  <c r="J152" i="25"/>
  <c r="J151" i="25"/>
  <c r="J150" i="25"/>
  <c r="J149" i="25"/>
  <c r="J148" i="25"/>
  <c r="J147" i="25"/>
  <c r="J146" i="25"/>
  <c r="J145" i="25"/>
  <c r="J144" i="25"/>
  <c r="J143" i="25"/>
  <c r="J142" i="25"/>
  <c r="J141" i="25"/>
  <c r="J140" i="25"/>
  <c r="J139" i="25"/>
  <c r="J138" i="25"/>
  <c r="J137" i="25"/>
  <c r="J136" i="25"/>
  <c r="J135" i="25"/>
  <c r="J134" i="25"/>
  <c r="J133" i="25"/>
  <c r="J132" i="25"/>
  <c r="J131" i="25"/>
  <c r="J130" i="25"/>
  <c r="J129" i="25"/>
  <c r="J128" i="25"/>
  <c r="J127" i="25"/>
  <c r="J126" i="25"/>
  <c r="J125" i="25"/>
  <c r="J124" i="25"/>
  <c r="J123" i="25"/>
  <c r="J122" i="25"/>
  <c r="J121" i="25"/>
  <c r="J120" i="25"/>
  <c r="J119" i="25"/>
  <c r="J118" i="25"/>
  <c r="J117" i="25"/>
  <c r="J116" i="25"/>
  <c r="J115" i="25"/>
  <c r="J114" i="25"/>
  <c r="J113" i="25"/>
  <c r="J112" i="25"/>
  <c r="J111" i="25"/>
  <c r="J110" i="25"/>
  <c r="J109" i="25"/>
  <c r="J108" i="25"/>
  <c r="J107" i="25"/>
  <c r="J106" i="25"/>
  <c r="J105" i="25"/>
  <c r="J104" i="25"/>
  <c r="J103" i="25"/>
  <c r="J102" i="25"/>
  <c r="J101" i="25"/>
  <c r="J100" i="25"/>
  <c r="J99" i="25"/>
  <c r="J98" i="25"/>
  <c r="J97" i="25"/>
  <c r="J96" i="25"/>
  <c r="J95" i="25"/>
  <c r="J94" i="25"/>
  <c r="J93" i="25"/>
  <c r="J92" i="25"/>
  <c r="J91" i="25"/>
  <c r="J90" i="25"/>
  <c r="J89" i="25"/>
  <c r="J88" i="25"/>
  <c r="J87" i="25"/>
  <c r="J86" i="25"/>
  <c r="J85" i="25"/>
  <c r="J84" i="25"/>
  <c r="J83" i="25"/>
  <c r="J82" i="25"/>
  <c r="J81" i="25"/>
  <c r="J80" i="25"/>
  <c r="J79" i="25"/>
  <c r="J78" i="25"/>
  <c r="J77" i="25"/>
  <c r="J76" i="25"/>
  <c r="J75" i="25"/>
  <c r="J74" i="25"/>
  <c r="J73" i="25"/>
  <c r="J72" i="25"/>
  <c r="J71" i="25"/>
  <c r="J70" i="25"/>
  <c r="J68" i="25"/>
  <c r="J67" i="25"/>
  <c r="J66" i="25"/>
  <c r="J65" i="25"/>
  <c r="J51" i="25"/>
  <c r="J50" i="25"/>
  <c r="J49" i="25"/>
  <c r="J48" i="25"/>
  <c r="J47" i="25"/>
  <c r="J20" i="25"/>
  <c r="J19" i="25"/>
  <c r="J18" i="25"/>
  <c r="J17" i="25"/>
  <c r="J16" i="25"/>
  <c r="J15" i="25"/>
  <c r="K52" i="33" l="1"/>
  <c r="J52" i="33"/>
  <c r="K44" i="33"/>
  <c r="K36" i="33" s="1"/>
  <c r="J44" i="33"/>
  <c r="K38" i="33"/>
  <c r="J38" i="33"/>
  <c r="J36" i="33" s="1"/>
  <c r="K27" i="33"/>
  <c r="J27" i="33"/>
  <c r="F26" i="33"/>
  <c r="E26" i="33"/>
  <c r="K16" i="33"/>
  <c r="J16" i="33"/>
  <c r="F16" i="33"/>
  <c r="F14" i="33" s="1"/>
  <c r="E16" i="33"/>
  <c r="K14" i="33"/>
  <c r="J14" i="33"/>
  <c r="E14" i="33"/>
  <c r="P38" i="32"/>
  <c r="P37" i="32"/>
  <c r="O37" i="32"/>
  <c r="P31" i="32"/>
  <c r="P30" i="32" s="1"/>
  <c r="P44" i="32" s="1"/>
  <c r="O30" i="32"/>
  <c r="H28" i="32"/>
  <c r="G28" i="32"/>
  <c r="P25" i="32"/>
  <c r="P20" i="32"/>
  <c r="O20" i="32"/>
  <c r="O25" i="32" s="1"/>
  <c r="P15" i="32"/>
  <c r="O15" i="32"/>
  <c r="H15" i="32"/>
  <c r="H47" i="32" s="1"/>
  <c r="P47" i="32" s="1"/>
  <c r="P50" i="32" s="1"/>
  <c r="G15" i="32"/>
  <c r="G47" i="32" s="1"/>
  <c r="I37" i="31"/>
  <c r="I36" i="31"/>
  <c r="I35" i="31"/>
  <c r="I34" i="31"/>
  <c r="I33" i="31"/>
  <c r="H33" i="31"/>
  <c r="G33" i="31"/>
  <c r="F33" i="31"/>
  <c r="E33" i="31"/>
  <c r="I31" i="31"/>
  <c r="I30" i="31"/>
  <c r="I29" i="31"/>
  <c r="I28" i="31"/>
  <c r="H28" i="31"/>
  <c r="G28" i="31"/>
  <c r="F28" i="31"/>
  <c r="E28" i="31"/>
  <c r="H26" i="31"/>
  <c r="H39" i="31" s="1"/>
  <c r="F26" i="31"/>
  <c r="F39" i="31" s="1"/>
  <c r="I24" i="31"/>
  <c r="I23" i="31"/>
  <c r="I22" i="31"/>
  <c r="I21" i="31"/>
  <c r="H20" i="31"/>
  <c r="G20" i="31"/>
  <c r="I20" i="31" s="1"/>
  <c r="F20" i="31"/>
  <c r="E20" i="31"/>
  <c r="I18" i="31"/>
  <c r="I17" i="31"/>
  <c r="I16" i="31"/>
  <c r="H15" i="31"/>
  <c r="G15" i="31"/>
  <c r="G26" i="31" s="1"/>
  <c r="G39" i="31" s="1"/>
  <c r="F15" i="31"/>
  <c r="E15" i="31"/>
  <c r="E26" i="31" s="1"/>
  <c r="E39" i="31" s="1"/>
  <c r="I13" i="31"/>
  <c r="K49" i="30"/>
  <c r="J49" i="30"/>
  <c r="K41" i="30"/>
  <c r="J41" i="30"/>
  <c r="K34" i="30"/>
  <c r="J34" i="30"/>
  <c r="K29" i="30"/>
  <c r="J29" i="30"/>
  <c r="F27" i="30"/>
  <c r="E27" i="30"/>
  <c r="F23" i="30"/>
  <c r="E23" i="30"/>
  <c r="K18" i="30"/>
  <c r="J18" i="30"/>
  <c r="K13" i="30"/>
  <c r="K52" i="30" s="1"/>
  <c r="J13" i="30"/>
  <c r="J52" i="30" s="1"/>
  <c r="F13" i="30"/>
  <c r="F34" i="30" s="1"/>
  <c r="K54" i="30" s="1"/>
  <c r="E13" i="30"/>
  <c r="E34" i="30" s="1"/>
  <c r="J54" i="30" s="1"/>
  <c r="K57" i="29"/>
  <c r="K62" i="29" s="1"/>
  <c r="K64" i="29" s="1"/>
  <c r="J57" i="29"/>
  <c r="K49" i="29"/>
  <c r="J49" i="29"/>
  <c r="J62" i="29" s="1"/>
  <c r="K43" i="29"/>
  <c r="J43" i="29"/>
  <c r="E42" i="29"/>
  <c r="F40" i="29"/>
  <c r="E40" i="29"/>
  <c r="K37" i="29"/>
  <c r="J37" i="29"/>
  <c r="K26" i="29"/>
  <c r="K39" i="29" s="1"/>
  <c r="J26" i="29"/>
  <c r="J39" i="29" s="1"/>
  <c r="F25" i="29"/>
  <c r="F42" i="29" s="1"/>
  <c r="E25" i="29"/>
  <c r="O44" i="32" l="1"/>
  <c r="O47" i="32"/>
  <c r="O50" i="32" s="1"/>
  <c r="I39" i="31"/>
  <c r="I15" i="31"/>
  <c r="I26" i="31" s="1"/>
  <c r="J64" i="29"/>
  <c r="D30" i="15"/>
  <c r="H18" i="5" l="1"/>
  <c r="H19" i="5"/>
  <c r="G40" i="21"/>
  <c r="J40" i="21" s="1"/>
  <c r="G39" i="21"/>
  <c r="J39" i="21" s="1"/>
  <c r="G38" i="21"/>
  <c r="J38" i="21" s="1"/>
  <c r="G37" i="21"/>
  <c r="J37" i="21" s="1"/>
  <c r="J36" i="21" s="1"/>
  <c r="I36" i="21"/>
  <c r="H36" i="21"/>
  <c r="F36" i="21"/>
  <c r="E36" i="21"/>
  <c r="G35" i="21"/>
  <c r="J35" i="21" s="1"/>
  <c r="G34" i="21"/>
  <c r="J34" i="21" s="1"/>
  <c r="G33" i="21"/>
  <c r="J33" i="21" s="1"/>
  <c r="G32" i="21"/>
  <c r="J32" i="21" s="1"/>
  <c r="I31" i="21"/>
  <c r="H31" i="21"/>
  <c r="G31" i="21"/>
  <c r="F31" i="21"/>
  <c r="E31" i="21"/>
  <c r="G30" i="21"/>
  <c r="J30" i="21" s="1"/>
  <c r="G29" i="21"/>
  <c r="J29" i="21" s="1"/>
  <c r="J28" i="21" s="1"/>
  <c r="I28" i="21"/>
  <c r="H28" i="21"/>
  <c r="F28" i="21"/>
  <c r="E28" i="21"/>
  <c r="G27" i="21"/>
  <c r="J27" i="21" s="1"/>
  <c r="G26" i="21"/>
  <c r="J26" i="21" s="1"/>
  <c r="G25" i="21"/>
  <c r="J25" i="21" s="1"/>
  <c r="J24" i="21" s="1"/>
  <c r="I24" i="21"/>
  <c r="H24" i="21"/>
  <c r="F24" i="21"/>
  <c r="E24" i="21"/>
  <c r="G23" i="21"/>
  <c r="J23" i="21" s="1"/>
  <c r="G22" i="21"/>
  <c r="J22" i="21" s="1"/>
  <c r="G21" i="21"/>
  <c r="J21" i="21" s="1"/>
  <c r="G20" i="21"/>
  <c r="J20" i="21" s="1"/>
  <c r="G19" i="21"/>
  <c r="J19" i="21" s="1"/>
  <c r="G18" i="21"/>
  <c r="J18" i="21" s="1"/>
  <c r="G17" i="21"/>
  <c r="J17" i="21" s="1"/>
  <c r="G16" i="21"/>
  <c r="J16" i="21" s="1"/>
  <c r="I15" i="21"/>
  <c r="H15" i="21"/>
  <c r="F15" i="21"/>
  <c r="E15" i="21"/>
  <c r="G14" i="21"/>
  <c r="J14" i="21" s="1"/>
  <c r="G13" i="21"/>
  <c r="J13" i="21" s="1"/>
  <c r="J12" i="21" s="1"/>
  <c r="I12" i="21"/>
  <c r="H12" i="21"/>
  <c r="F12" i="21"/>
  <c r="E12" i="21"/>
  <c r="I11" i="21"/>
  <c r="I42" i="21" s="1"/>
  <c r="E11" i="21"/>
  <c r="E42" i="21" s="1"/>
  <c r="E31" i="19"/>
  <c r="D31" i="19"/>
  <c r="C31" i="19"/>
  <c r="D15" i="19"/>
  <c r="D19" i="19" s="1"/>
  <c r="D23" i="19" s="1"/>
  <c r="F30" i="18"/>
  <c r="D30" i="18"/>
  <c r="F18" i="18"/>
  <c r="D18" i="18"/>
  <c r="F31" i="17"/>
  <c r="D31" i="17"/>
  <c r="H30" i="17"/>
  <c r="I30" i="17" s="1"/>
  <c r="H29" i="17"/>
  <c r="I29" i="17" s="1"/>
  <c r="H28" i="17"/>
  <c r="I28" i="17" s="1"/>
  <c r="H27" i="17"/>
  <c r="I27" i="17" s="1"/>
  <c r="H26" i="17"/>
  <c r="I26" i="17" s="1"/>
  <c r="H25" i="17"/>
  <c r="I25" i="17" s="1"/>
  <c r="H24" i="17"/>
  <c r="I24" i="17" s="1"/>
  <c r="H23" i="17"/>
  <c r="I23" i="17" s="1"/>
  <c r="H22" i="17"/>
  <c r="F19" i="17"/>
  <c r="D19" i="17"/>
  <c r="D33" i="17" s="1"/>
  <c r="H18" i="17"/>
  <c r="I18" i="17" s="1"/>
  <c r="H17" i="17"/>
  <c r="I17" i="17" s="1"/>
  <c r="H16" i="17"/>
  <c r="I16" i="17" s="1"/>
  <c r="H15" i="17"/>
  <c r="I15" i="17" s="1"/>
  <c r="H14" i="17"/>
  <c r="I14" i="17" s="1"/>
  <c r="H13" i="17"/>
  <c r="I13" i="17" s="1"/>
  <c r="H12" i="17"/>
  <c r="I12" i="17" s="1"/>
  <c r="H11" i="17"/>
  <c r="I11" i="17" s="1"/>
  <c r="H10" i="17"/>
  <c r="F46" i="16"/>
  <c r="I46" i="16" s="1"/>
  <c r="F45" i="16"/>
  <c r="I45" i="16" s="1"/>
  <c r="F44" i="16"/>
  <c r="I44" i="16" s="1"/>
  <c r="F43" i="16"/>
  <c r="I43" i="16" s="1"/>
  <c r="H42" i="16"/>
  <c r="G42" i="16"/>
  <c r="F42" i="16"/>
  <c r="E42" i="16"/>
  <c r="D42" i="16"/>
  <c r="F40" i="16"/>
  <c r="I40" i="16" s="1"/>
  <c r="F39" i="16"/>
  <c r="I39" i="16" s="1"/>
  <c r="F38" i="16"/>
  <c r="I38" i="16" s="1"/>
  <c r="F37" i="16"/>
  <c r="I37" i="16" s="1"/>
  <c r="F36" i="16"/>
  <c r="I36" i="16" s="1"/>
  <c r="F35" i="16"/>
  <c r="I35" i="16" s="1"/>
  <c r="F34" i="16"/>
  <c r="I34" i="16" s="1"/>
  <c r="F33" i="16"/>
  <c r="I33" i="16" s="1"/>
  <c r="F32" i="16"/>
  <c r="I32" i="16" s="1"/>
  <c r="H31" i="16"/>
  <c r="G31" i="16"/>
  <c r="F31" i="16"/>
  <c r="E31" i="16"/>
  <c r="D31" i="16"/>
  <c r="F29" i="16"/>
  <c r="I29" i="16" s="1"/>
  <c r="F28" i="16"/>
  <c r="I28" i="16" s="1"/>
  <c r="F27" i="16"/>
  <c r="I27" i="16" s="1"/>
  <c r="F26" i="16"/>
  <c r="I26" i="16" s="1"/>
  <c r="F25" i="16"/>
  <c r="I25" i="16" s="1"/>
  <c r="F24" i="16"/>
  <c r="I24" i="16" s="1"/>
  <c r="F23" i="16"/>
  <c r="I23" i="16" s="1"/>
  <c r="H22" i="16"/>
  <c r="G22" i="16"/>
  <c r="E22" i="16"/>
  <c r="D22" i="16"/>
  <c r="F20" i="16"/>
  <c r="I20" i="16" s="1"/>
  <c r="F19" i="16"/>
  <c r="I19" i="16" s="1"/>
  <c r="F18" i="16"/>
  <c r="I18" i="16" s="1"/>
  <c r="F17" i="16"/>
  <c r="I17" i="16" s="1"/>
  <c r="F16" i="16"/>
  <c r="I16" i="16" s="1"/>
  <c r="F15" i="16"/>
  <c r="I15" i="16" s="1"/>
  <c r="F14" i="16"/>
  <c r="I14" i="16" s="1"/>
  <c r="F13" i="16"/>
  <c r="I13" i="16" s="1"/>
  <c r="I12" i="16" s="1"/>
  <c r="H12" i="16"/>
  <c r="G12" i="16"/>
  <c r="E12" i="16"/>
  <c r="D12" i="16"/>
  <c r="F83" i="15"/>
  <c r="I83" i="15" s="1"/>
  <c r="F82" i="15"/>
  <c r="I82" i="15" s="1"/>
  <c r="F81" i="15"/>
  <c r="I81" i="15" s="1"/>
  <c r="F80" i="15"/>
  <c r="I80" i="15" s="1"/>
  <c r="F79" i="15"/>
  <c r="I79" i="15" s="1"/>
  <c r="F78" i="15"/>
  <c r="I78" i="15" s="1"/>
  <c r="F77" i="15"/>
  <c r="I77" i="15" s="1"/>
  <c r="I76" i="15" s="1"/>
  <c r="H76" i="15"/>
  <c r="G76" i="15"/>
  <c r="E76" i="15"/>
  <c r="D76" i="15"/>
  <c r="F75" i="15"/>
  <c r="I75" i="15" s="1"/>
  <c r="F74" i="15"/>
  <c r="I74" i="15" s="1"/>
  <c r="F73" i="15"/>
  <c r="I73" i="15" s="1"/>
  <c r="I72" i="15" s="1"/>
  <c r="H72" i="15"/>
  <c r="G72" i="15"/>
  <c r="E72" i="15"/>
  <c r="D72" i="15"/>
  <c r="F71" i="15"/>
  <c r="I71" i="15" s="1"/>
  <c r="F70" i="15"/>
  <c r="I70" i="15" s="1"/>
  <c r="F69" i="15"/>
  <c r="I69" i="15" s="1"/>
  <c r="F68" i="15"/>
  <c r="I68" i="15" s="1"/>
  <c r="F67" i="15"/>
  <c r="I67" i="15" s="1"/>
  <c r="F66" i="15"/>
  <c r="I66" i="15" s="1"/>
  <c r="F65" i="15"/>
  <c r="I65" i="15" s="1"/>
  <c r="I64" i="15" s="1"/>
  <c r="H64" i="15"/>
  <c r="G64" i="15"/>
  <c r="E64" i="15"/>
  <c r="D64" i="15"/>
  <c r="F63" i="15"/>
  <c r="I63" i="15" s="1"/>
  <c r="F62" i="15"/>
  <c r="I62" i="15" s="1"/>
  <c r="F61" i="15"/>
  <c r="I61" i="15" s="1"/>
  <c r="I60" i="15" s="1"/>
  <c r="H60" i="15"/>
  <c r="G60" i="15"/>
  <c r="E60" i="15"/>
  <c r="D60" i="15"/>
  <c r="I59" i="15"/>
  <c r="F58" i="15"/>
  <c r="I58" i="15" s="1"/>
  <c r="F57" i="15"/>
  <c r="I57" i="15" s="1"/>
  <c r="I56" i="15"/>
  <c r="F55" i="15"/>
  <c r="I55" i="15" s="1"/>
  <c r="F54" i="15"/>
  <c r="I54" i="15" s="1"/>
  <c r="F53" i="15"/>
  <c r="F52" i="15"/>
  <c r="F51" i="15"/>
  <c r="H50" i="15"/>
  <c r="G50" i="15"/>
  <c r="E50" i="15"/>
  <c r="D50" i="15"/>
  <c r="F49" i="15"/>
  <c r="I49" i="15" s="1"/>
  <c r="F48" i="15"/>
  <c r="I48" i="15" s="1"/>
  <c r="F47" i="15"/>
  <c r="I47" i="15" s="1"/>
  <c r="F46" i="15"/>
  <c r="I46" i="15" s="1"/>
  <c r="F45" i="15"/>
  <c r="I45" i="15" s="1"/>
  <c r="F44" i="15"/>
  <c r="I44" i="15" s="1"/>
  <c r="F43" i="15"/>
  <c r="I43" i="15" s="1"/>
  <c r="F42" i="15"/>
  <c r="I42" i="15" s="1"/>
  <c r="F41" i="15"/>
  <c r="I41" i="15" s="1"/>
  <c r="H40" i="15"/>
  <c r="G40" i="15"/>
  <c r="E40" i="15"/>
  <c r="D40" i="15"/>
  <c r="F39" i="15"/>
  <c r="I39" i="15" s="1"/>
  <c r="F38" i="15"/>
  <c r="I38" i="15" s="1"/>
  <c r="F37" i="15"/>
  <c r="I37" i="15" s="1"/>
  <c r="F36" i="15"/>
  <c r="I36" i="15" s="1"/>
  <c r="F35" i="15"/>
  <c r="I35" i="15" s="1"/>
  <c r="F34" i="15"/>
  <c r="I34" i="15" s="1"/>
  <c r="F33" i="15"/>
  <c r="I33" i="15" s="1"/>
  <c r="F32" i="15"/>
  <c r="I32" i="15" s="1"/>
  <c r="F31" i="15"/>
  <c r="I31" i="15" s="1"/>
  <c r="H30" i="15"/>
  <c r="G30" i="15"/>
  <c r="E30" i="15"/>
  <c r="F29" i="15"/>
  <c r="I29" i="15" s="1"/>
  <c r="F28" i="15"/>
  <c r="I28" i="15" s="1"/>
  <c r="F27" i="15"/>
  <c r="I27" i="15" s="1"/>
  <c r="F26" i="15"/>
  <c r="I26" i="15" s="1"/>
  <c r="F25" i="15"/>
  <c r="I25" i="15" s="1"/>
  <c r="F24" i="15"/>
  <c r="I24" i="15" s="1"/>
  <c r="F23" i="15"/>
  <c r="I23" i="15" s="1"/>
  <c r="F22" i="15"/>
  <c r="I22" i="15" s="1"/>
  <c r="F21" i="15"/>
  <c r="I21" i="15" s="1"/>
  <c r="H20" i="15"/>
  <c r="G20" i="15"/>
  <c r="E20" i="15"/>
  <c r="D20" i="15"/>
  <c r="F19" i="15"/>
  <c r="I19" i="15" s="1"/>
  <c r="F18" i="15"/>
  <c r="I18" i="15" s="1"/>
  <c r="F17" i="15"/>
  <c r="I17" i="15" s="1"/>
  <c r="F16" i="15"/>
  <c r="I16" i="15" s="1"/>
  <c r="F15" i="15"/>
  <c r="I15" i="15" s="1"/>
  <c r="F14" i="15"/>
  <c r="I14" i="15" s="1"/>
  <c r="F13" i="15"/>
  <c r="I13" i="15" s="1"/>
  <c r="H12" i="15"/>
  <c r="G12" i="15"/>
  <c r="E12" i="15"/>
  <c r="D12" i="15"/>
  <c r="H18" i="14"/>
  <c r="G18" i="14"/>
  <c r="E18" i="14"/>
  <c r="D18" i="14"/>
  <c r="F16" i="14"/>
  <c r="I16" i="14" s="1"/>
  <c r="F14" i="14"/>
  <c r="I14" i="14" s="1"/>
  <c r="F12" i="14"/>
  <c r="F18" i="14" s="1"/>
  <c r="H26" i="13"/>
  <c r="G26" i="13"/>
  <c r="E26" i="13"/>
  <c r="D26" i="13"/>
  <c r="F24" i="13"/>
  <c r="I24" i="13" s="1"/>
  <c r="F23" i="13"/>
  <c r="I23" i="13" s="1"/>
  <c r="F22" i="13"/>
  <c r="I22" i="13" s="1"/>
  <c r="F21" i="13"/>
  <c r="I21" i="13" s="1"/>
  <c r="F20" i="13"/>
  <c r="I20" i="13" s="1"/>
  <c r="F19" i="13"/>
  <c r="I19" i="13" s="1"/>
  <c r="F18" i="13"/>
  <c r="I18" i="13" s="1"/>
  <c r="F17" i="13"/>
  <c r="I17" i="13" s="1"/>
  <c r="F16" i="13"/>
  <c r="J54" i="12"/>
  <c r="G54" i="12"/>
  <c r="J53" i="12"/>
  <c r="I53" i="12"/>
  <c r="H53" i="12"/>
  <c r="G53" i="12"/>
  <c r="F53" i="12"/>
  <c r="E53" i="12"/>
  <c r="J51" i="12"/>
  <c r="G51" i="12"/>
  <c r="J50" i="12"/>
  <c r="G50" i="12"/>
  <c r="J49" i="12"/>
  <c r="G49" i="12"/>
  <c r="I48" i="12"/>
  <c r="H48" i="12"/>
  <c r="F48" i="12"/>
  <c r="E48" i="12"/>
  <c r="J46" i="12"/>
  <c r="G46" i="12"/>
  <c r="J45" i="12"/>
  <c r="G45" i="12"/>
  <c r="J44" i="12"/>
  <c r="G44" i="12"/>
  <c r="J43" i="12"/>
  <c r="G43" i="12"/>
  <c r="J42" i="12"/>
  <c r="I42" i="12"/>
  <c r="H42" i="12"/>
  <c r="G42" i="12"/>
  <c r="F42" i="12"/>
  <c r="E42" i="12"/>
  <c r="J41" i="12"/>
  <c r="G41" i="12"/>
  <c r="J40" i="12"/>
  <c r="J39" i="12" s="1"/>
  <c r="J35" i="12" s="1"/>
  <c r="G40" i="12"/>
  <c r="G39" i="12" s="1"/>
  <c r="G35" i="12" s="1"/>
  <c r="I39" i="12"/>
  <c r="H39" i="12"/>
  <c r="H35" i="12" s="1"/>
  <c r="F39" i="12"/>
  <c r="F35" i="12" s="1"/>
  <c r="E39" i="12"/>
  <c r="J38" i="12"/>
  <c r="G38" i="12"/>
  <c r="J37" i="12"/>
  <c r="G37" i="12"/>
  <c r="J36" i="12"/>
  <c r="G36" i="12"/>
  <c r="I35" i="12"/>
  <c r="E35" i="12"/>
  <c r="J25" i="12"/>
  <c r="G25" i="12"/>
  <c r="J24" i="12"/>
  <c r="G24" i="12"/>
  <c r="J23" i="12"/>
  <c r="G23" i="12"/>
  <c r="J22" i="12"/>
  <c r="G22" i="12"/>
  <c r="J21" i="12"/>
  <c r="G21" i="12"/>
  <c r="J20" i="12"/>
  <c r="G20" i="12"/>
  <c r="J19" i="12"/>
  <c r="I19" i="12"/>
  <c r="H19" i="12"/>
  <c r="G19" i="12"/>
  <c r="F19" i="12"/>
  <c r="E19" i="12"/>
  <c r="J18" i="12"/>
  <c r="G18" i="12"/>
  <c r="J17" i="12"/>
  <c r="G17" i="12"/>
  <c r="J16" i="12"/>
  <c r="I16" i="12"/>
  <c r="I27" i="12" s="1"/>
  <c r="H16" i="12"/>
  <c r="H27" i="12" s="1"/>
  <c r="G16" i="12"/>
  <c r="F16" i="12"/>
  <c r="F27" i="12" s="1"/>
  <c r="E16" i="12"/>
  <c r="E27" i="12" s="1"/>
  <c r="J15" i="12"/>
  <c r="G15" i="12"/>
  <c r="J14" i="12"/>
  <c r="G14" i="12"/>
  <c r="J13" i="12"/>
  <c r="G13" i="12"/>
  <c r="J12" i="12"/>
  <c r="J27" i="12" s="1"/>
  <c r="G12" i="12"/>
  <c r="G27" i="12" s="1"/>
  <c r="H11" i="21" l="1"/>
  <c r="H42" i="21" s="1"/>
  <c r="F11" i="21"/>
  <c r="F42" i="21" s="1"/>
  <c r="G48" i="16"/>
  <c r="E48" i="16"/>
  <c r="E84" i="15"/>
  <c r="I56" i="12"/>
  <c r="H56" i="12"/>
  <c r="F56" i="12"/>
  <c r="G48" i="12"/>
  <c r="G56" i="12" s="1"/>
  <c r="J48" i="12"/>
  <c r="J56" i="12"/>
  <c r="E56" i="12"/>
  <c r="G15" i="21"/>
  <c r="F22" i="16"/>
  <c r="D84" i="15"/>
  <c r="I50" i="15"/>
  <c r="I40" i="15"/>
  <c r="H84" i="15"/>
  <c r="I20" i="15"/>
  <c r="I30" i="15"/>
  <c r="G84" i="15"/>
  <c r="I12" i="15"/>
  <c r="F32" i="18"/>
  <c r="F26" i="13"/>
  <c r="F12" i="15"/>
  <c r="F20" i="15"/>
  <c r="F30" i="15"/>
  <c r="F40" i="15"/>
  <c r="F50" i="15"/>
  <c r="F60" i="15"/>
  <c r="F64" i="15"/>
  <c r="F72" i="15"/>
  <c r="F76" i="15"/>
  <c r="D48" i="16"/>
  <c r="F12" i="16"/>
  <c r="H48" i="16"/>
  <c r="I22" i="16"/>
  <c r="I48" i="16" s="1"/>
  <c r="I31" i="16"/>
  <c r="I42" i="16"/>
  <c r="F33" i="17"/>
  <c r="D32" i="18"/>
  <c r="C15" i="19"/>
  <c r="C19" i="19" s="1"/>
  <c r="C23" i="19" s="1"/>
  <c r="E15" i="19"/>
  <c r="E19" i="19" s="1"/>
  <c r="E23" i="19" s="1"/>
  <c r="G12" i="21"/>
  <c r="J15" i="21"/>
  <c r="J11" i="21" s="1"/>
  <c r="J42" i="21" s="1"/>
  <c r="G24" i="21"/>
  <c r="G28" i="21"/>
  <c r="J31" i="21"/>
  <c r="G36" i="21"/>
  <c r="I16" i="13"/>
  <c r="I26" i="13" s="1"/>
  <c r="I12" i="14"/>
  <c r="I18" i="14" s="1"/>
  <c r="I10" i="17"/>
  <c r="H19" i="17" s="1"/>
  <c r="I22" i="17"/>
  <c r="H31" i="17" s="1"/>
  <c r="F48" i="16" l="1"/>
  <c r="I84" i="15"/>
  <c r="G11" i="21"/>
  <c r="G42" i="21" s="1"/>
  <c r="F84" i="15"/>
  <c r="H33" i="17"/>
  <c r="J33" i="6"/>
  <c r="I33" i="6"/>
  <c r="J28" i="6"/>
  <c r="J39" i="6" s="1"/>
  <c r="I28" i="6"/>
  <c r="I39" i="6" s="1"/>
  <c r="J19" i="6"/>
  <c r="I19" i="6"/>
  <c r="J14" i="6"/>
  <c r="J25" i="6" s="1"/>
  <c r="I14" i="6"/>
  <c r="I25" i="6" s="1"/>
  <c r="H36" i="5"/>
  <c r="I36" i="5" s="1"/>
  <c r="H35" i="5"/>
  <c r="I35" i="5" s="1"/>
  <c r="H34" i="5"/>
  <c r="I34" i="5" s="1"/>
  <c r="H33" i="5"/>
  <c r="I33" i="5" s="1"/>
  <c r="H32" i="5"/>
  <c r="I32" i="5" s="1"/>
  <c r="H31" i="5"/>
  <c r="I31" i="5" s="1"/>
  <c r="H30" i="5"/>
  <c r="I30" i="5" s="1"/>
  <c r="H29" i="5"/>
  <c r="I29" i="5" s="1"/>
  <c r="H28" i="5"/>
  <c r="I28" i="5" s="1"/>
  <c r="G26" i="5"/>
  <c r="F26" i="5"/>
  <c r="E26" i="5"/>
  <c r="H24" i="5"/>
  <c r="I24" i="5" s="1"/>
  <c r="H23" i="5"/>
  <c r="I23" i="5" s="1"/>
  <c r="H22" i="5"/>
  <c r="I22" i="5" s="1"/>
  <c r="H21" i="5"/>
  <c r="I21" i="5" s="1"/>
  <c r="H20" i="5"/>
  <c r="I20" i="5" s="1"/>
  <c r="I19" i="5"/>
  <c r="I18" i="5"/>
  <c r="G16" i="5"/>
  <c r="G38" i="5" s="1"/>
  <c r="F16" i="5"/>
  <c r="E16" i="5"/>
  <c r="E38" i="5" s="1"/>
  <c r="I26" i="5" l="1"/>
  <c r="F38" i="5"/>
  <c r="H16" i="5"/>
  <c r="I16" i="5"/>
  <c r="I38" i="5" s="1"/>
  <c r="H26" i="5"/>
  <c r="H38" i="5" s="1"/>
  <c r="I43" i="6"/>
  <c r="J43" i="6"/>
</calcChain>
</file>

<file path=xl/sharedStrings.xml><?xml version="1.0" encoding="utf-8"?>
<sst xmlns="http://schemas.openxmlformats.org/spreadsheetml/2006/main" count="12691" uniqueCount="1541">
  <si>
    <t>Cuenta Pública 2014</t>
  </si>
  <si>
    <t>Estado de Situación Financiera</t>
  </si>
  <si>
    <t>(Pesos)</t>
  </si>
  <si>
    <t>Ente Público:</t>
  </si>
  <si>
    <t>Poder Ejecutivo</t>
  </si>
  <si>
    <t>CONCEPTO</t>
  </si>
  <si>
    <t>Año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</si>
  <si>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</si>
  <si>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</si>
  <si>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</si>
  <si>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</si>
  <si>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</si>
  <si>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</si>
  <si>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</si>
  <si>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</si>
  <si>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</si>
  <si>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</si>
  <si>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</si>
  <si>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</si>
  <si>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</si>
  <si>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</si>
  <si>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</si>
  <si>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</si>
  <si>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</si>
  <si>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</si>
  <si>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</si>
  <si>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</si>
  <si>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</si>
  <si>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</si>
  <si>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</si>
  <si>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</si>
  <si>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</si>
  <si>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</si>
  <si>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</si>
  <si>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</si>
  <si>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</si>
  <si>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</si>
  <si>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</si>
  <si>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</si>
  <si>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</si>
  <si>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</si>
  <si>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</si>
  <si>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</si>
  <si>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</si>
  <si>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</si>
  <si>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</si>
  <si>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</si>
  <si>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</si>
  <si>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</si>
  <si>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</si>
  <si>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</si>
  <si>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</si>
  <si>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</si>
  <si>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</si>
  <si>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</si>
  <si>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</si>
  <si>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</si>
  <si>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</si>
  <si>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</si>
  <si>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</si>
  <si>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</si>
  <si>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</si>
  <si>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</si>
  <si>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</si>
  <si>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</si>
  <si>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Bajo protesta de decir verdad declaramos que los Estados Financieros y sus Notas son razonablemente correctos y responsabilidad del emisor</t>
  </si>
  <si>
    <t>Estado de Actividades</t>
  </si>
  <si>
    <t>Concepto</t>
  </si>
  <si>
    <t>INGRESOS Y OTROS BENEFICIOS</t>
  </si>
  <si>
    <t>GASTOS Y OTRAS PÉRDIDAS</t>
  </si>
  <si>
    <t>Ingresos de la Gestión</t>
  </si>
  <si>
    <t>Gastos de  Funcionamiento</t>
  </si>
  <si>
    <t>Impuestos</t>
  </si>
  <si>
    <t xml:space="preserve">Servicios Personales  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</si>
  <si>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</si>
  <si>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</si>
  <si>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</si>
  <si>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</si>
  <si>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</si>
  <si>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Productos de Tipo Corriente</t>
  </si>
  <si>
    <t>Transferencias, Asignaciones, Subsidios y Otras Ayudas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</si>
  <si>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</si>
  <si>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</si>
  <si>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</si>
  <si>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</si>
  <si>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</si>
  <si>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</si>
  <si>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</si>
  <si>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</si>
  <si>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</si>
  <si>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</si>
  <si>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</si>
  <si>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Transferencias, Asignaciones, Subsidios y Otras ayudas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</si>
  <si>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</si>
  <si>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</si>
  <si>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</si>
  <si>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</si>
  <si>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</si>
  <si>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</si>
  <si>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</si>
  <si>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</si>
  <si>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</si>
  <si>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</si>
  <si>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</si>
  <si>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</si>
  <si>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</si>
  <si>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</si>
  <si>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</si>
  <si>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</si>
  <si>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</si>
  <si>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</si>
  <si>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</si>
  <si>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</si>
  <si>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</si>
  <si>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</si>
  <si>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</si>
  <si>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</si>
  <si>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</si>
  <si>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</si>
  <si>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</si>
  <si>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</si>
  <si>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</si>
  <si>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Estado de Variación en la Hacienda Pública</t>
  </si>
  <si>
    <t>(pesos)</t>
  </si>
  <si>
    <t xml:space="preserve"> </t>
  </si>
  <si>
    <t>Hacienda Pública/Patrimonio Generado de Ejercicios Anteriores</t>
  </si>
  <si>
    <t>Hacienda Pública/Patrimonio Generado del Ejercicio</t>
  </si>
  <si>
    <t>Ajustes por Cambios de Valor</t>
  </si>
  <si>
    <t>TOTAL</t>
  </si>
  <si>
    <t xml:space="preserve">Patrimonio Neto Inicial Ajustado del Ejercicio </t>
  </si>
  <si>
    <t xml:space="preserve">Aportaciones </t>
  </si>
  <si>
    <t>Actualización de la Hacienda Pública/Patrimonio</t>
  </si>
  <si>
    <t>Variaciones de la Hacienda Pública/Patrimonio Neto del Ejercicio</t>
  </si>
  <si>
    <t>Resultados del Ejercicio (Ahorro/Desahorro)</t>
  </si>
  <si>
    <t xml:space="preserve">Revalúos  </t>
  </si>
  <si>
    <t>Cambios en la Hacienda Pública/Patrimonio Neto del Ejercicio 2014</t>
  </si>
  <si>
    <t>Variaciones de la Hacienda Pública/Patrimonio Neto del Ejercicio 2014</t>
  </si>
  <si>
    <t>Estado de Flujos de Efectivo</t>
  </si>
  <si>
    <t>Flujos de Efectivo de las Actividades de Operación</t>
  </si>
  <si>
    <t xml:space="preserve">Flujos de Efectivo de las Actividades de Inversión </t>
  </si>
  <si>
    <t>Origen</t>
  </si>
  <si>
    <t>Cuotas y Aportaciones de Seguridad Social</t>
  </si>
  <si>
    <t>Contribuciones de mejoras</t>
  </si>
  <si>
    <t>Otros Orígenes de Invresión</t>
  </si>
  <si>
    <t>Aplicación</t>
  </si>
  <si>
    <t>Otras Aplicaciones de Inversión</t>
  </si>
  <si>
    <t>Transferencias, Asignaciones y Subsidios y Otras ayudas</t>
  </si>
  <si>
    <t>Flujos Netos de Efectivo por Actividades de Inversión</t>
  </si>
  <si>
    <t>Otros Origenes de Operación</t>
  </si>
  <si>
    <t>Flujo de Efectivo de las Actividades de Financiamiento</t>
  </si>
  <si>
    <t>Servicios Personales</t>
  </si>
  <si>
    <t>Endeudamiento Neto</t>
  </si>
  <si>
    <t xml:space="preserve">   Interno</t>
  </si>
  <si>
    <t>Transferencias al resto del Sector Público</t>
  </si>
  <si>
    <t xml:space="preserve">   Externo</t>
  </si>
  <si>
    <t xml:space="preserve">Subsidios y Subvenciones </t>
  </si>
  <si>
    <t>Disminución de Activos Financieros</t>
  </si>
  <si>
    <t xml:space="preserve">Incremento de Otros Pasivos </t>
  </si>
  <si>
    <t>Servicios de la Deuda</t>
  </si>
  <si>
    <t xml:space="preserve">Participaciones </t>
  </si>
  <si>
    <t>Incremento de Activos Financieros</t>
  </si>
  <si>
    <t xml:space="preserve">Disminución de Otros Pasivos </t>
  </si>
  <si>
    <t>Otros Aplicaciones de Operación</t>
  </si>
  <si>
    <t>Flujos netos de Efectivo por Actividades de Financiamiento</t>
  </si>
  <si>
    <t>Flujos Netos de Efectivo por Actividades de Operación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</si>
  <si>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</si>
  <si>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</si>
  <si>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</si>
  <si>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Estado Analítico del Activo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</si>
  <si>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</si>
  <si>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</si>
  <si>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</si>
  <si>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</si>
  <si>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</si>
  <si>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</si>
  <si>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</si>
  <si>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</si>
  <si>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</si>
  <si>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</si>
  <si>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</si>
  <si>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</si>
  <si>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</si>
  <si>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</si>
  <si>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</si>
  <si>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</si>
  <si>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</si>
  <si>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</si>
  <si>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</si>
  <si>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</si>
  <si>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</si>
  <si>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</si>
  <si>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</si>
  <si>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</si>
  <si>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</si>
  <si>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</si>
  <si>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</si>
  <si>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</si>
  <si>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Estado de Cambios en la Situación Financiera</t>
  </si>
  <si>
    <t>Exceso o Insuficiencia en la Actualización de la Hacienda Pública/Patrimonio</t>
  </si>
  <si>
    <t>Estado Analítico de Ingresos</t>
  </si>
  <si>
    <t>Del 1 de enero al 31 de diciembre de 2014</t>
  </si>
  <si>
    <t>Rubro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</si>
  <si>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</si>
  <si>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</si>
  <si>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</si>
  <si>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</si>
  <si>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</si>
  <si>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</si>
  <si>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</si>
  <si>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(1)</t>
  </si>
  <si>
    <t>(2)</t>
  </si>
  <si>
    <t>(3= 1 + 2)</t>
  </si>
  <si>
    <t>(4)</t>
  </si>
  <si>
    <t>(5)</t>
  </si>
  <si>
    <t>(7= 5 - 1 )</t>
  </si>
  <si>
    <t>Productos</t>
  </si>
  <si>
    <t>Corriente</t>
  </si>
  <si>
    <t>Capital</t>
  </si>
  <si>
    <t>Aprovechamientos</t>
  </si>
  <si>
    <t>Ingresos por Ventas de Bienes y Servicios</t>
  </si>
  <si>
    <t>Ingresos Derivados de Financiamientos</t>
  </si>
  <si>
    <t>Total</t>
  </si>
  <si>
    <r>
      <t>Ingresos excedentes</t>
    </r>
    <r>
      <rPr>
        <b/>
        <sz val="9"/>
        <rFont val="Calibri"/>
        <family val="2"/>
      </rPr>
      <t>¹</t>
    </r>
  </si>
  <si>
    <t>Estado Analítico de Ingresos
Por Fuente de Financiamiento</t>
  </si>
  <si>
    <t>Ampliaciones y 
Reducciones</t>
  </si>
  <si>
    <t>Ingresos del Gobierno</t>
  </si>
  <si>
    <t>Ingresos de Organismos y Empresas</t>
  </si>
  <si>
    <t>Ingresos derivados de financiamiento</t>
  </si>
  <si>
    <r>
      <t>Ingresos excedentes</t>
    </r>
    <r>
      <rPr>
        <b/>
        <sz val="8"/>
        <rFont val="Calibri"/>
        <family val="2"/>
      </rPr>
      <t>¹</t>
    </r>
  </si>
  <si>
    <t>¹ Los ingresos excedentes se presentan para efectos de cumplimiento de la Ley General de Contabilidad Gubernamental y el importe reflejado debe ser siempre mayor a cero</t>
  </si>
  <si>
    <t>Estado Analítico del Ejercicio del Presupuesto de Egresos</t>
  </si>
  <si>
    <t>Clasificación Administrativa</t>
  </si>
  <si>
    <t>Egresos</t>
  </si>
  <si>
    <t>Subejercicio</t>
  </si>
  <si>
    <t>Aprobado</t>
  </si>
  <si>
    <t>Ampliaciones/ (Reducciones)</t>
  </si>
  <si>
    <t>Pagado</t>
  </si>
  <si>
    <t>3 = (1 + 2 )</t>
  </si>
  <si>
    <t>6 = ( 3 - 4 )</t>
  </si>
  <si>
    <t>Dependencia o Unidad Admninistrativa 1</t>
  </si>
  <si>
    <t>Dependencia o Unidad Admninistrativa 2</t>
  </si>
  <si>
    <t>Dependencia o Unidad Admninistrativa 3</t>
  </si>
  <si>
    <t>Dependencia o Unidad Admninistrativa 4</t>
  </si>
  <si>
    <t>Dependencia o Unidad Admninistrativa 6</t>
  </si>
  <si>
    <t>Dependencia o Unidad Admninistrativa 7</t>
  </si>
  <si>
    <t>Dependencia o Unidad Admninistrativa 8</t>
  </si>
  <si>
    <t>Dependencia o Unidad Admninistrativa 9</t>
  </si>
  <si>
    <t>Dependencia o Unidad Admninistrativa xx</t>
  </si>
  <si>
    <t>Total del Gasto</t>
  </si>
  <si>
    <t>Clasificación Económica (por Tipo de Gasto)</t>
  </si>
  <si>
    <t xml:space="preserve">Egresos </t>
  </si>
  <si>
    <t>Gasto Corriente</t>
  </si>
  <si>
    <t>Gasto de Capital</t>
  </si>
  <si>
    <t>Amortización de la Deuda y Disminución de Pasivos</t>
  </si>
  <si>
    <t>Clasificación por Objeto del Gasto (Capítulo y Concepto)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</si>
  <si>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</si>
  <si>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</si>
  <si>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</si>
  <si>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</si>
  <si>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</si>
  <si>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</si>
  <si>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</si>
  <si>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</si>
  <si>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</si>
  <si>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</si>
  <si>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</si>
  <si>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</si>
  <si>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</si>
  <si>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</si>
  <si>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</si>
  <si>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</si>
  <si>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</si>
  <si>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</si>
  <si>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</si>
  <si>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</si>
  <si>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</si>
  <si>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Publicidad.</t>
  </si>
  <si>
    <t>Servicios de Traslado y Viáticos</t>
  </si>
  <si>
    <t>Servicios Oficiales</t>
  </si>
  <si>
    <t>Otros Servicios Generales</t>
  </si>
  <si>
    <t>Transferencias a Fideicomisos, Mandatos y Otros Análogos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</si>
  <si>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</si>
  <si>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</si>
  <si>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</si>
  <si>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</si>
  <si>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</si>
  <si>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</si>
  <si>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</si>
  <si>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</si>
  <si>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</si>
  <si>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</si>
  <si>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</si>
  <si>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</si>
  <si>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</si>
  <si>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Productivas.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</si>
  <si>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</si>
  <si>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</si>
  <si>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</si>
  <si>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</si>
  <si>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</si>
  <si>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</si>
  <si>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Deuda Pública</t>
  </si>
  <si>
    <t>Amortización de la Deuda Pública</t>
  </si>
  <si>
    <t>Adeudos de Ejercicios Fiscales Anteriores (Adefas)</t>
  </si>
  <si>
    <t>Clasificación Funcional (Finalidad y Función)</t>
  </si>
  <si>
    <t>Gobierno</t>
  </si>
  <si>
    <t xml:space="preserve">     Legislación</t>
  </si>
  <si>
    <t xml:space="preserve">    Justicia</t>
  </si>
  <si>
    <t xml:space="preserve">    Coordinación de la Política de Gobierno</t>
  </si>
  <si>
    <t xml:space="preserve">    Relaciones Exteriores</t>
  </si>
  <si>
    <t xml:space="preserve">    Asuntos Financieros y Hacendarios</t>
  </si>
  <si>
    <t xml:space="preserve">    Seguridad Nacional</t>
  </si>
  <si>
    <t xml:space="preserve">    Asuntos de Orden Público y de Seguridad Interior</t>
  </si>
  <si>
    <t xml:space="preserve">    Otros Servicios Generales</t>
  </si>
  <si>
    <t>Desarrollo Social</t>
  </si>
  <si>
    <t xml:space="preserve">     Protección Ambiental</t>
  </si>
  <si>
    <t xml:space="preserve">     Vivienda y Servicios a la Comunidad</t>
  </si>
  <si>
    <t xml:space="preserve">     Salud</t>
  </si>
  <si>
    <t xml:space="preserve">     Recreación, Cultura y Otras Manifestaciones Sociales</t>
  </si>
  <si>
    <t xml:space="preserve">     Educación</t>
  </si>
  <si>
    <t xml:space="preserve">     Protección Social</t>
  </si>
  <si>
    <t xml:space="preserve">     Otros Asuntos Sociales</t>
  </si>
  <si>
    <t>Desarrollo Económico</t>
  </si>
  <si>
    <t xml:space="preserve">     Asuntos Económicos, Comerciales y Laborales en General</t>
  </si>
  <si>
    <t xml:space="preserve">     Agropecuaria, Silvicultura, Pesca y Caza</t>
  </si>
  <si>
    <t xml:space="preserve">    Combustibles y Energía</t>
  </si>
  <si>
    <t xml:space="preserve">    Minería, Manufacturas y Construcción</t>
  </si>
  <si>
    <t xml:space="preserve">    Transporte</t>
  </si>
  <si>
    <t xml:space="preserve">    Comunicaciones</t>
  </si>
  <si>
    <t xml:space="preserve">    Turismo</t>
  </si>
  <si>
    <t xml:space="preserve">    Ciencia, Tecnología e Innovación</t>
  </si>
  <si>
    <t xml:space="preserve">    Otras Industrias y Otros Asuntos Económicos</t>
  </si>
  <si>
    <t>Otras no Clasificadas en Funciones Anteriores</t>
  </si>
  <si>
    <t xml:space="preserve">     Transacciones de la Deuda Publica / Costo Financiero de la Deuda</t>
  </si>
  <si>
    <t xml:space="preserve">     Transferencias, Participaciones y Aportaciones entre Diferentes Niveles y Ordenes de Gobierno</t>
  </si>
  <si>
    <t xml:space="preserve">     Saneamiento del Sistema Financiero</t>
  </si>
  <si>
    <t xml:space="preserve">     Adeudos de Ejercicios Fiscales Anteriores</t>
  </si>
  <si>
    <t>Identificación de Crédito o Instrumento</t>
  </si>
  <si>
    <t>Colocación</t>
  </si>
  <si>
    <t>Amortización</t>
  </si>
  <si>
    <t xml:space="preserve">Endeudamiento Neto </t>
  </si>
  <si>
    <t>A</t>
  </si>
  <si>
    <t>B</t>
  </si>
  <si>
    <t>C = A - B</t>
  </si>
  <si>
    <t>Creditos Bancarios</t>
  </si>
  <si>
    <t>Total Créditos Bancarios</t>
  </si>
  <si>
    <t>Otros Instrumentos de Deuda</t>
  </si>
  <si>
    <t>Total Otros Instrumentos de Deuda</t>
  </si>
  <si>
    <t>Intereses de la Deuda</t>
  </si>
  <si>
    <t>Créditos Bancarios</t>
  </si>
  <si>
    <t>Nombre del Ente Público</t>
  </si>
  <si>
    <t>Indicadores de Postura Fiscal</t>
  </si>
  <si>
    <r>
      <t xml:space="preserve">Pagado </t>
    </r>
    <r>
      <rPr>
        <b/>
        <vertAlign val="superscript"/>
        <sz val="9"/>
        <color indexed="8"/>
        <rFont val="Arial"/>
        <family val="2"/>
      </rPr>
      <t>3</t>
    </r>
  </si>
  <si>
    <t>I. Ingresos Presupuestarios (I=1+2)</t>
  </si>
  <si>
    <r>
      <t xml:space="preserve">1. Ingresos del Gobierno de la Entidad Federativa </t>
    </r>
    <r>
      <rPr>
        <b/>
        <vertAlign val="superscript"/>
        <sz val="9"/>
        <color indexed="8"/>
        <rFont val="Arial"/>
        <family val="2"/>
      </rPr>
      <t>1</t>
    </r>
  </si>
  <si>
    <r>
      <t xml:space="preserve">2. Ingresos del Sector Paraestatal </t>
    </r>
    <r>
      <rPr>
        <b/>
        <vertAlign val="superscript"/>
        <sz val="9"/>
        <color indexed="8"/>
        <rFont val="Arial"/>
        <family val="2"/>
      </rPr>
      <t>1</t>
    </r>
  </si>
  <si>
    <t>II. Egresos Presupuestarios (II=3+4)</t>
  </si>
  <si>
    <r>
      <t xml:space="preserve">3. Egresos del Gobierno de la Entidad Federativa </t>
    </r>
    <r>
      <rPr>
        <b/>
        <vertAlign val="superscript"/>
        <sz val="9"/>
        <color indexed="8"/>
        <rFont val="Arial"/>
        <family val="2"/>
      </rPr>
      <t>2</t>
    </r>
  </si>
  <si>
    <r>
      <t xml:space="preserve">4. Egresos del Sector Paraestatal </t>
    </r>
    <r>
      <rPr>
        <b/>
        <vertAlign val="superscript"/>
        <sz val="9"/>
        <color indexed="8"/>
        <rFont val="Arial"/>
        <family val="2"/>
      </rPr>
      <t>2</t>
    </r>
  </si>
  <si>
    <t>III. Balance Presupuestario (Superávit o Déficit) (III = I - II)</t>
  </si>
  <si>
    <t>III. Balance presupuestario (Superávit o Déficit)</t>
  </si>
  <si>
    <t>IV. Intereses, Comisiones y Gastos de la Deuda</t>
  </si>
  <si>
    <t>V. Balance Primario (Superávit o Déficit) (V= III - IV)</t>
  </si>
  <si>
    <t>A. Financiamiento</t>
  </si>
  <si>
    <t>B.  Amortización de la deuda</t>
  </si>
  <si>
    <t>C. Endeudamiento ó desendeudamiento (C = A - B)</t>
  </si>
  <si>
    <t>1.  Los Ingresos que se presentan son los ingresos presupuestarios totales sin incluir los ingresos por financiamientos. Los Ingresos del Gobierno de la Entidad Federativa corresponden a los del Poder Ejecutivo, Legislativo Judicial y Autónomos</t>
  </si>
  <si>
    <t>2.  Los egresos que se presentan son los egresos presupuestarios totales sin incluir los egresos por amortización. Los egresos del Gobierno de la Entidad Federativa corresponden a los del Poder Ejecutivo, Legislativo, Judicial y Órganos Autónomos</t>
  </si>
  <si>
    <t>3.  Para Ingresos se reportan los ingresos recaudados; para egresos se reportan los egresos pagados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</si>
  <si>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</si>
  <si>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</si>
  <si>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</si>
  <si>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</si>
  <si>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</si>
  <si>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</si>
  <si>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</si>
  <si>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</si>
  <si>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</si>
  <si>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</si>
  <si>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</si>
  <si>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</si>
  <si>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</si>
  <si>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</si>
  <si>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</si>
  <si>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</si>
  <si>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</si>
  <si>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</si>
  <si>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</si>
  <si>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</si>
  <si>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</si>
  <si>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</si>
  <si>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</si>
  <si>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</si>
  <si>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</si>
  <si>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</si>
  <si>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</si>
  <si>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</si>
  <si>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</si>
  <si>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</si>
  <si>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</si>
  <si>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Relación de Bienes Muebles que Componen el Patrimonio</t>
  </si>
  <si>
    <t>Código</t>
  </si>
  <si>
    <t>Descripción del Bien Mueble</t>
  </si>
  <si>
    <t>Valor en libros</t>
  </si>
  <si>
    <t>Relación de Bienes Inmuebles que Componen el Patrimonio</t>
  </si>
  <si>
    <t>Descripción del Bien Inmueble</t>
  </si>
  <si>
    <t>Poder Ejecutivo:</t>
  </si>
  <si>
    <t>Relación de cuentas bancarias productivas específicas</t>
  </si>
  <si>
    <t>Fondo, Programa o Convenio</t>
  </si>
  <si>
    <t>Datos de la Cuenta Bancaria</t>
  </si>
  <si>
    <t>Institución Bancaria</t>
  </si>
  <si>
    <t>Número de Cuenta</t>
  </si>
  <si>
    <t>Cuenta Pública 2015</t>
  </si>
  <si>
    <t>Del 1o de enero al 31 de diciembre de 2015</t>
  </si>
  <si>
    <t>Al 31 de diciembre de 2015 y 2014</t>
  </si>
  <si>
    <t>Del 1 de enero al 31 de diciembre 2015</t>
  </si>
  <si>
    <t>Del 1 de enero al 31 de diciembre de 2015</t>
  </si>
  <si>
    <t>Del 01 de Enero al 31 de Diciembre del 2015</t>
  </si>
  <si>
    <t>Del 1 de Enero al 31 de Diciembre 2015</t>
  </si>
  <si>
    <t>Cuenta Pública</t>
  </si>
  <si>
    <t>Entidad Federativa Jalisco</t>
  </si>
  <si>
    <t>Instituto Tecnológico Superior de La Huerta</t>
  </si>
  <si>
    <t>LIC. SERGIO SANCHEZ ESTRADA</t>
  </si>
  <si>
    <t>ENCARGADO DE LA SUBDIRECCION ADMINISTRATIVA</t>
  </si>
  <si>
    <t>Del 1o. de enero al 31 de diciembre de 2015 y 2014</t>
  </si>
  <si>
    <t>Hacienda Pública/Patrimonio Neto Final del Ejercicio 2014</t>
  </si>
  <si>
    <t>Saldo Neto en la Hacienda Pública / Patrimonio 2015</t>
  </si>
  <si>
    <t>Juicios: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</si>
  <si>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9"/>
        <color theme="1"/>
        <rFont val="Arial"/>
        <family val="2"/>
      </rPr>
      <t>517/2011/11-F que se substancia en la Onceava Junta Especial de la Local de Conciliación y Arbitraje, en la cual nos encontramos en cumplimiento del convenio suscrito con la actora AIDA MUÑOZ CHAVEZ.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</si>
  <si>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9"/>
        <color theme="1"/>
        <rFont val="Arial"/>
        <family val="2"/>
      </rPr>
      <t>726/2014/11-F que se substancia en la misma Onceava Junta Especial de la Local de Conciliación y Arbitraje, promovido por AIDA MUÑOZ CHAVEZ y otros por su inscripción a Pensiones, en el cual nos encontramos en desahogo de pruebas.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</si>
  <si>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9"/>
        <color theme="1"/>
        <rFont val="Arial"/>
        <family val="2"/>
      </rPr>
      <t>Expediente 588/2015 Para procesal o Voluntario, donde se avisa de rescisión con fecha 02 de Julio 2015 al C. Salomón Llamas López.</t>
    </r>
  </si>
  <si>
    <t>Calculo de pasivos laborales del personal: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</si>
  <si>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9"/>
        <color theme="1"/>
        <rFont val="Arial"/>
        <family val="2"/>
      </rPr>
      <t>Prima de antigüedad con un importe de $154,502.00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</si>
  <si>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9"/>
        <color theme="1"/>
        <rFont val="Arial"/>
        <family val="2"/>
      </rPr>
      <t>Indemnización legal con un importe de $799,235.00</t>
    </r>
  </si>
  <si>
    <t>PODER EJECUTIVO</t>
  </si>
  <si>
    <t>Informe sobre pasivos contingentes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</si>
  <si>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9"/>
        <color theme="1"/>
        <rFont val="Arial"/>
        <family val="2"/>
      </rPr>
      <t>Laureano García Navarrete, EXP. LAB. 829/2007-A2 Importe aproximado de $47,990.47</t>
    </r>
  </si>
  <si>
    <t>ING. ALDO BONI OREGON HONOJOSA</t>
  </si>
  <si>
    <t>DIRECCION GENERAL DEL ITSH</t>
  </si>
  <si>
    <t>ING. ALDO BONI OREGON HINOJOSA</t>
  </si>
  <si>
    <t>DIRECTOR GENERAL DEL ITSH</t>
  </si>
  <si>
    <t>Federal</t>
  </si>
  <si>
    <t>Banamex</t>
  </si>
  <si>
    <t>7005-3345628</t>
  </si>
  <si>
    <t>7008-2197840</t>
  </si>
  <si>
    <t>I</t>
  </si>
  <si>
    <t>CONTENIDO</t>
  </si>
  <si>
    <t>1241-1-01</t>
  </si>
  <si>
    <t>PINTARRON ALFRA C/S 120X240</t>
  </si>
  <si>
    <t>1241-1-02</t>
  </si>
  <si>
    <t>PIZARRON BLANCO WHITE STAR 60X90</t>
  </si>
  <si>
    <t>1241-1-03</t>
  </si>
  <si>
    <t>ESCRITORIO MET CUB/MEL 150X70</t>
  </si>
  <si>
    <t>ESCRITORIO MET CUB/MET 150X70</t>
  </si>
  <si>
    <t>ESCRITORIO MET CUB/MEL 180X80</t>
  </si>
  <si>
    <t>1241-1-04</t>
  </si>
  <si>
    <t>SILLA SECRETARIAL OHS-07 AZUL</t>
  </si>
  <si>
    <t>SILLA SECRETARIAL LUXOR MAX AZUL</t>
  </si>
  <si>
    <t>1241-1-05</t>
  </si>
  <si>
    <t>ARCHIVERO 4 GAVETAS</t>
  </si>
  <si>
    <t>1241-2-01</t>
  </si>
  <si>
    <t>MESA BLANCA PARA MAESTRO Y BIBLIOTECA</t>
  </si>
  <si>
    <t>1241-1-50</t>
  </si>
  <si>
    <t>SILLON EJECUTIVO EN MALLA</t>
  </si>
  <si>
    <t>1241-1-06</t>
  </si>
  <si>
    <t>ENGARGOLADORA TRIPLE</t>
  </si>
  <si>
    <t>1241-1-09</t>
  </si>
  <si>
    <t>VITRINA DE ALUMINIO</t>
  </si>
  <si>
    <t>ELECTRONICO</t>
  </si>
  <si>
    <t>1241-1-07</t>
  </si>
  <si>
    <t>RADIOGRABADORA SONY CD</t>
  </si>
  <si>
    <t>1241-1-08</t>
  </si>
  <si>
    <t>ANAQUEL T ESQUELETO 45X85X1.8</t>
  </si>
  <si>
    <t>1241-9-12</t>
  </si>
  <si>
    <t>JUEGO DE GUARDA LLAVES Y CAJA DE DINERO</t>
  </si>
  <si>
    <t>1241-1-48</t>
  </si>
  <si>
    <t>ANAQUEL TIPO ESQUELETO</t>
  </si>
  <si>
    <t>18076A</t>
  </si>
  <si>
    <t>1241-1-10</t>
  </si>
  <si>
    <t>GABINETE UNIVERSAL</t>
  </si>
  <si>
    <t>1241-9-02</t>
  </si>
  <si>
    <t>RADIOGRABADORA</t>
  </si>
  <si>
    <t>1241-1-11</t>
  </si>
  <si>
    <t xml:space="preserve">MESA PARA MAESTRO 120*160 C TRAVESAÑO </t>
  </si>
  <si>
    <t>1241-1-12</t>
  </si>
  <si>
    <t xml:space="preserve">SILLA VISITA APILABLE TAPIZ TELA COLOR AZUL REY </t>
  </si>
  <si>
    <t>1241-1-13</t>
  </si>
  <si>
    <t xml:space="preserve">ESCRITORIO GRAPA 2 GAVETAS </t>
  </si>
  <si>
    <t>LIC.3814</t>
  </si>
  <si>
    <t>1241-1-14</t>
  </si>
  <si>
    <t xml:space="preserve">SILLA OPERATIVA COLOR / TIPO VESTIDURA OFITEX </t>
  </si>
  <si>
    <t>1241-1-15</t>
  </si>
  <si>
    <t xml:space="preserve">MUEBLES PARA CONSULTA BIBLIOGRAFICA DE ALUMINIO </t>
  </si>
  <si>
    <t>1241-1-16</t>
  </si>
  <si>
    <t xml:space="preserve">LOCKER 4 GAVETAS COLOR GRIS CLARO </t>
  </si>
  <si>
    <t>1241-1-17</t>
  </si>
  <si>
    <t>MESA DE TRABAJO ALTA PARA COMPUTADORA INTERMUEBLE MOD ESP</t>
  </si>
  <si>
    <t>1241-1-18</t>
  </si>
  <si>
    <t>ARCHIVERO VERTICAL DE CUATRO GAVETAS INTERM MOD AV-4G</t>
  </si>
  <si>
    <t>1241-1-19</t>
  </si>
  <si>
    <t>PODIUM METALICO, MARCA INTERMUEBLE MOD ESPECIAL</t>
  </si>
  <si>
    <t>1241-1-20</t>
  </si>
  <si>
    <t>SILLA OPERATIVA</t>
  </si>
  <si>
    <t>1241-1-21</t>
  </si>
  <si>
    <t>MESA DE TRABAJO ALTA PARA COMPUTADORA</t>
  </si>
  <si>
    <t>1241-1-22</t>
  </si>
  <si>
    <t xml:space="preserve">SILLA APILABLE TAPIZADA EN TELA </t>
  </si>
  <si>
    <t>SILLA APILABLE TAPIZADA EN TELA</t>
  </si>
  <si>
    <t>1241-1-23</t>
  </si>
  <si>
    <t>ESCRITORIO BASICO</t>
  </si>
  <si>
    <t>1241-1-24</t>
  </si>
  <si>
    <t>ARCHIVERO VERTICAL DE CUATRO GAVETAS</t>
  </si>
  <si>
    <t>1241-1-25</t>
  </si>
  <si>
    <t>MESA BLANCA PARA DOCENTE</t>
  </si>
  <si>
    <t>1241-1-26</t>
  </si>
  <si>
    <t>BANCA DE CUATRO PLAZAS EN POLIPROPILENO</t>
  </si>
  <si>
    <t>1241-1-27</t>
  </si>
  <si>
    <t>MESA DE ACERO INOXIDABLE</t>
  </si>
  <si>
    <t>1241-1-28</t>
  </si>
  <si>
    <t>ESCRITORIO SEMIEJECUTIVO DERECHO</t>
  </si>
  <si>
    <t>ESCRITORIO SEMIEJECUTIVO IZQUIERDO</t>
  </si>
  <si>
    <t>1241-1-29</t>
  </si>
  <si>
    <t>ANAQUEL TIPO ESQUELETO MARCA MOBILITI</t>
  </si>
  <si>
    <t>1241-1-30</t>
  </si>
  <si>
    <t>ESCRITORIO BASICO MARCA MOBILITI</t>
  </si>
  <si>
    <t>1241-1-31</t>
  </si>
  <si>
    <t>LIBRERO DE PISO C/PUERTAS Y 3 ENTREPAÑOS INT. MARCA MOBILITI</t>
  </si>
  <si>
    <t>1241-1-32</t>
  </si>
  <si>
    <t>MUEBLE MOCHILERO DE .98X.50X1.75 CON 12 CASILLEROS</t>
  </si>
  <si>
    <t>1241-1-33</t>
  </si>
  <si>
    <t>ESTACIÓN DE TRABAJO 10 ESPACIOS DE EMPRENDURISMO + 34 SILLAS</t>
  </si>
  <si>
    <t>ESTACIÓN DE TRABAJO 10 ESPACIOS DE EMPRENDURISMO SILLA 01</t>
  </si>
  <si>
    <r>
      <t>ESTACIÓN DE TRABAJO 10 ESPACIOS DE EMPRENDURISMO SILLA 10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</si>
  <si>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11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</si>
  <si>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12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</si>
  <si>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13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</si>
  <si>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14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</si>
  <si>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15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</si>
  <si>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16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</si>
  <si>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17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</si>
  <si>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18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</si>
  <si>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19</t>
    </r>
    <r>
      <rPr>
        <sz val="11"/>
        <color theme="1"/>
        <rFont val="Calibri"/>
        <family val="2"/>
        <scheme val="minor"/>
      </rPr>
      <t/>
    </r>
  </si>
  <si>
    <t>ESTACIÓN DE TRABAJO 10 ESPACIOS DE EMPRENDURISMO SILLA 02</t>
  </si>
  <si>
    <r>
      <t>ESTACIÓN DE TRABAJO 10 ESPACIOS DE EMPRENDURISMO SILLA 20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</si>
  <si>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21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</si>
  <si>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22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</si>
  <si>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23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</si>
  <si>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24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</si>
  <si>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25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</si>
  <si>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26</t>
    </r>
    <r>
      <rPr>
        <sz val="11"/>
        <color theme="1"/>
        <rFont val="Calibri"/>
        <family val="2"/>
        <scheme val="minor"/>
      </rPr>
      <t/>
    </r>
  </si>
  <si>
    <t>ESTACIÓN DE TRABAJO 10 ESPACIOS DE EMPRENDURISMO SILLA 03</t>
  </si>
  <si>
    <r>
      <t>ESTACIÓN DE TRABAJO 10 ESPACIOS DE EMPRENDURISMO SILLA 04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</si>
  <si>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05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</si>
  <si>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06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</si>
  <si>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08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</si>
  <si>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09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</si>
  <si>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27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</si>
  <si>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28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</si>
  <si>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29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</si>
  <si>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30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</si>
  <si>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07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</si>
  <si>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31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</si>
  <si>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32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</si>
  <si>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33</t>
    </r>
    <r>
      <rPr>
        <sz val="11"/>
        <color theme="1"/>
        <rFont val="Calibri"/>
        <family val="2"/>
        <scheme val="minor"/>
      </rPr>
      <t/>
    </r>
  </si>
  <si>
    <r>
      <t>ESTACIÓN DE TRABAJO 10 ESPACIOS DE EMPRENDURISMO SILLA 34</t>
    </r>
    <r>
      <rPr>
        <sz val="11"/>
        <color theme="1"/>
        <rFont val="Calibri"/>
        <family val="2"/>
        <scheme val="minor"/>
      </rPr>
      <t/>
    </r>
  </si>
  <si>
    <t>1241-1-34</t>
  </si>
  <si>
    <t>1241-1-35</t>
  </si>
  <si>
    <t xml:space="preserve">RESTIRADORES Y 40 BANCOS </t>
  </si>
  <si>
    <t>RESTIRADORES Y 40 BANCOS</t>
  </si>
  <si>
    <t>1241-1-36</t>
  </si>
  <si>
    <t>PINTARRON CHICO</t>
  </si>
  <si>
    <t>1241-1-37</t>
  </si>
  <si>
    <t>ARCHIVERO VERTICAL DE 4 GAVETAS</t>
  </si>
  <si>
    <t>1241-1-38</t>
  </si>
  <si>
    <t>1241-1-39</t>
  </si>
  <si>
    <t>SILLON EJECUTIVO TIPO URSE</t>
  </si>
  <si>
    <t>1241-1-40</t>
  </si>
  <si>
    <t>LIC.6603</t>
  </si>
  <si>
    <t>1241-1-41</t>
  </si>
  <si>
    <t>BUTACA PARA NIVEL SUPERIOR DERECHA</t>
  </si>
  <si>
    <t xml:space="preserve">BUTACA PARA NIVEL SUPERIOR DERECHA </t>
  </si>
  <si>
    <t>1241-1-42</t>
  </si>
  <si>
    <t>BUTACA PARA NIVEL SUPERIOR IZQUIERDA</t>
  </si>
  <si>
    <t>1241-1-43</t>
  </si>
  <si>
    <t>ANAQUEL PARA LIBROS DOBLE .90X.66X2.10</t>
  </si>
  <si>
    <t>1241-1-44</t>
  </si>
  <si>
    <t>ANAQUEL REVISTAS DOBLE .90X.66X2.10</t>
  </si>
  <si>
    <t>1241-1-45</t>
  </si>
  <si>
    <t>CARRO TRANSPORTADOR GRIS CLARO</t>
  </si>
  <si>
    <t>1246-6-07</t>
  </si>
  <si>
    <t>MESA DE FUERZAS</t>
  </si>
  <si>
    <t>F1224</t>
  </si>
  <si>
    <t>1241-1-5111</t>
  </si>
  <si>
    <t>PUPITRE OHP-2300 ESTRUCTURA METALICA</t>
  </si>
  <si>
    <t>1241-9-5191</t>
  </si>
  <si>
    <t>ENFRIADOR DE AGUA FRIA Y CALIENTE NUEVO OJO DE AGUA</t>
  </si>
  <si>
    <t>1241-3-01</t>
  </si>
  <si>
    <t>IMPRESORA LASER COLOR HP</t>
  </si>
  <si>
    <t>73032B</t>
  </si>
  <si>
    <t>1241-3-02</t>
  </si>
  <si>
    <t>PROYECTOR INFOCUS  LP600 2000 LUMENES USB</t>
  </si>
  <si>
    <t>1241-3-03</t>
  </si>
  <si>
    <t>COMPUTADORA TOSHIBA TECRA A6-SP302. 1.6GHZ AJ  05</t>
  </si>
  <si>
    <t>1241-3-04</t>
  </si>
  <si>
    <t>COMPUTADORA TOSHIBA TECRA A6-SP302. 1.6GHZ DO NO. 01</t>
  </si>
  <si>
    <t>1241-3-05</t>
  </si>
  <si>
    <t>COMPUTADORA TOSHIBA TECRA A6-SP302. 1.6GHZ JA  04</t>
  </si>
  <si>
    <t>1241-3-06</t>
  </si>
  <si>
    <t>COMPUTADORA TOSHIBA TECRA A6-SP302. 1.6GHZ G  03</t>
  </si>
  <si>
    <t>1241-3-07</t>
  </si>
  <si>
    <t>IMPRESORA HP COLOR LASERJET 3600N 1799M BJK</t>
  </si>
  <si>
    <t>1241-3-08</t>
  </si>
  <si>
    <t>IMPRESORA PORTATIL HP</t>
  </si>
  <si>
    <t>1241-3-09</t>
  </si>
  <si>
    <t>PIZARRA INTERATIVA MARCA SMART BOARD MODELO SB680</t>
  </si>
  <si>
    <t>PIZARRA INTERATIVA MARCA SMART BOARD MODELO SB681</t>
  </si>
  <si>
    <t>PIZARRA INTERATIVA MARCA SMART BOARD MODELO SB682</t>
  </si>
  <si>
    <t>PIZARRA INTERATIVA MARCA SMART BOARD MODELO SB683</t>
  </si>
  <si>
    <t>PIZARRA INTERATIVA MARCA SMART BOARD MODELO SB684</t>
  </si>
  <si>
    <t>PIZARRA INTERATIVA MARCA SMART BOARD MODELO SB685</t>
  </si>
  <si>
    <t>PIZARRA INTERATIVA MARCA SMART BOARD MODELO SB686</t>
  </si>
  <si>
    <t>PIZARRA INTERATIVA MARCA SMART BOARD MODELO SB687</t>
  </si>
  <si>
    <t>PIZARRA INTERATIVA MARCA SMART BOARD MODELO SB688</t>
  </si>
  <si>
    <t>PIZARRA INTERATIVA MARCA SMART BOARD MODELO SB689</t>
  </si>
  <si>
    <t>PIZARRA INTERATIVA MARCA SMART BOARD MODELO SB690</t>
  </si>
  <si>
    <t>PIZARRA INTERATIVA MARCA SMART BOARD MODELO SB691</t>
  </si>
  <si>
    <t>1241-3-10</t>
  </si>
  <si>
    <t>PLOTTER HP Z3200</t>
  </si>
  <si>
    <t>1241-3-11</t>
  </si>
  <si>
    <t>COMPUTADORA DE ESCRITORIO MARCA LANIX MODELO CORP 4050</t>
  </si>
  <si>
    <t>COMPUTADORA  DE ESCRITORIO MARCA LANIX  MODELO CORP 4050</t>
  </si>
  <si>
    <t>1241-3-12</t>
  </si>
  <si>
    <t>PROYECTOR DIGITAL MARCA NEC MODELO NP500W</t>
  </si>
  <si>
    <t>PROYECTOR  DIGITAL MARCA NEC MOD. NP500W</t>
  </si>
  <si>
    <t>1241-3-13</t>
  </si>
  <si>
    <t>IMPRESORA LASER NEGRO(MONOCROMATICA) MARCA HP MODELO P2055DN</t>
  </si>
  <si>
    <t>1241-3-14</t>
  </si>
  <si>
    <t>COMPUTADORAS LAP TOP MARCA LANIX MODELO NEURON LX90M</t>
  </si>
  <si>
    <t>1241-3-15</t>
  </si>
  <si>
    <t>IMPRESORA LASER COLOR MARCA HP CP2025DN</t>
  </si>
  <si>
    <t>1241-3-16</t>
  </si>
  <si>
    <t>ETIQUETADORA DE ACTIVOS FIJOS  MARCA ZEBRA Y LECTOR MOTOROLA DE CODIGO DE BARRAS MODELO LP2824, MC5590</t>
  </si>
  <si>
    <t>1241-3-17</t>
  </si>
  <si>
    <t>BARRERA DE ESTACIONAMIENTO SIGMA DE 5M</t>
  </si>
  <si>
    <t>1241-3-18</t>
  </si>
  <si>
    <t>GENERADOR DE FUNCIONES</t>
  </si>
  <si>
    <t>1241-3-19</t>
  </si>
  <si>
    <t>COMPUTADORA DE ESCRITORIO MARCA LANIX MOD. 4050</t>
  </si>
  <si>
    <t>1241-3-21</t>
  </si>
  <si>
    <t>EQUIPO DE SEGURIDAD PARA EDIFICIOS</t>
  </si>
  <si>
    <t>00187-1</t>
  </si>
  <si>
    <t>1241-3-20</t>
  </si>
  <si>
    <t>PLUMA PARA BARRERA VEHICULA</t>
  </si>
  <si>
    <t>1241-3-22</t>
  </si>
  <si>
    <t>PIZARRA INTERACTIVA</t>
  </si>
  <si>
    <t>1241-3-23</t>
  </si>
  <si>
    <t>CABLEADO ESTRUCTURADO (ASA 5510 SEWRITY PLUS - ACCESS POINT 802.11 A/G - 2.4 GHZ 2.2 dBi DIPOLE ANT. BLACK)</t>
  </si>
  <si>
    <t>1246-2-32</t>
  </si>
  <si>
    <t>PAQ. CROMATROGRAFOS DE LIQ. Y GASES (CROMATOGRAFO DE LIQUIDOS) INCLUYE PC E IMPRESORA</t>
  </si>
  <si>
    <t>PAQ. CROMATROGRAFOS DE LIQ. Y GASES (CROMATOGRAFO DE GASES) INCLUYE PC E IMPRESORA</t>
  </si>
  <si>
    <t>1241-3-24</t>
  </si>
  <si>
    <t>COMPUTADORA DE ESCRITORIO LANIX LX900T MONITOR A COLOR 19 LCD</t>
  </si>
  <si>
    <t>1241-3-25</t>
  </si>
  <si>
    <t>COMPUTADORA LAP TOP MARCA LANIX MODELO NEURON LX90</t>
  </si>
  <si>
    <t>1241-3-26</t>
  </si>
  <si>
    <t>RUTEADOR PARA INTERNET 4 WAN 200 VPN FIREWALL GSV3300V</t>
  </si>
  <si>
    <t>1241-3-27</t>
  </si>
  <si>
    <t>CAÑON  MARCA EPSON MODELO POWER LITE C/ MALETIN</t>
  </si>
  <si>
    <t>1241-3-28</t>
  </si>
  <si>
    <t>IMPRESORA LASER MONOCROMATICA LEXMARK</t>
  </si>
  <si>
    <t>1241-3-29</t>
  </si>
  <si>
    <t xml:space="preserve">IMPRESORA LASER A COLOR LEXMARK </t>
  </si>
  <si>
    <t>1241-3-30</t>
  </si>
  <si>
    <t xml:space="preserve">TARJETA DE 8 EXTENSIONES HIBRIDAS </t>
  </si>
  <si>
    <t>1241-3-31</t>
  </si>
  <si>
    <t>SCANJET HP ENTERPRISE 7500 DUPLEX 600 X 600 DPI 50 PPM</t>
  </si>
  <si>
    <t>00225-1</t>
  </si>
  <si>
    <t>1246-5-03</t>
  </si>
  <si>
    <t>TARJERA CALLER ID</t>
  </si>
  <si>
    <t>1241-3-32</t>
  </si>
  <si>
    <t>PROCESADOR SOC. 775 3.0Ghz</t>
  </si>
  <si>
    <t>1241-3-33</t>
  </si>
  <si>
    <t>DISCO DURO INTERNO SATA 160GB 3.5"</t>
  </si>
  <si>
    <t>1241-3-34</t>
  </si>
  <si>
    <t>TARJETA MADRE SOC. 775DDR2 800Mhz.</t>
  </si>
  <si>
    <t>1241-3-36</t>
  </si>
  <si>
    <t>ACCES POINT LIN KSYS WAP54G 802.11 G INCLUYE 1 RACK INTELLINET  Y 2 PANEL DE PARCHE INTELLINET</t>
  </si>
  <si>
    <t>00232-1</t>
  </si>
  <si>
    <t>1241-3-37</t>
  </si>
  <si>
    <t xml:space="preserve">HP PROLIANT ML 370G5 QCORE 2.66 GHZ DE 2 GB MEMORIA RAM DC RUM INCLUYE TECLADO Y MAUSE </t>
  </si>
  <si>
    <t>1246-6-5661</t>
  </si>
  <si>
    <t>ACONDICIONADOR DE POTENCIA MICROCONTROLADO</t>
  </si>
  <si>
    <t>1242-1-5211</t>
  </si>
  <si>
    <t>VIDEOPROYECTOR EPSON POWERLITE 900</t>
  </si>
  <si>
    <t>1241-3-5151</t>
  </si>
  <si>
    <t>IMPRESORA MULTIFUNCIONAL OKI MB461 LASER MONOCROMATICA</t>
  </si>
  <si>
    <t>VIDEOPROYECTOR EPSON POWERLITE X14 3000 LUMENS</t>
  </si>
  <si>
    <t>IMPRESORA LASER MONOCROMATICA MARCA LEXMARK MODELO MS610DN</t>
  </si>
  <si>
    <t>IMPRESORA A COLOR DE CREDENCIALES PVC MARCA ZEBRA MODELO ZXP</t>
  </si>
  <si>
    <t>RELOJ CHECADOR BIOMETRICO POR HUELLA DACTILAR MARCA ZKSOFTWARE MODELO ZK-INO1A</t>
  </si>
  <si>
    <t>SWITCH ETHERNET 48 PUERTOS MARCA TRENDNET MODELO TEG-448WS</t>
  </si>
  <si>
    <t>SWITCH ETHERNET 24 PUERTOS MARCA TRENDNET MODELO TEG-424WS</t>
  </si>
  <si>
    <t>SWITCH BASICO ETHERNET 24 PUERTOS MARCA TP-LINK MODELO TL-SF 1024D</t>
  </si>
  <si>
    <t>LECTOR DE CODIGO DE BARRAS LASER (USB) MARCA EC LINE MODELO EC-LS-9610</t>
  </si>
  <si>
    <t>IMPRESORA DE TICKETS Y PUNTOS DE VENTA MARCA EC LINE MODELO EC-PM-5890X-USB</t>
  </si>
  <si>
    <t>IMPRESORA DOBLE CARTA DE INYECCION DE TINTA MARCA EPSON MODELO STYLUS OFFICE T1110</t>
  </si>
  <si>
    <t>COMPUTADORA DE ESCRITORIO T/B MARCA HP MODELO PRODESK 600 G1 SFF + MONITOR</t>
  </si>
  <si>
    <t>WORKSTATION MARCA HP MODELO Z420 + 2 MONITORES ELITEDISPLAY E221</t>
  </si>
  <si>
    <t>COMPUTADORA DE ESCRITORIO T/A MARCA HP MODELO PRO 6305 SFF + MONITOR LV1911</t>
  </si>
  <si>
    <t>A 810</t>
  </si>
  <si>
    <t>PC GIGABYTE BRIX S CORE I3</t>
  </si>
  <si>
    <t>COMPUTADORA DE ESCRITORIO T/B MARCA HP MODELO PRODESK 600 G1 SFF + MONITOR LV1911</t>
  </si>
  <si>
    <t>EQUIPO DE COMPUTO PORTATIL (LAP TOP) MARCA ACER MODELO ASPIRE V3-574-55CP, CON MALETIN</t>
  </si>
  <si>
    <t>IMPRESORA DE PLOTTER MARCA H.P. MOD DESIGNJET T520 36"</t>
  </si>
  <si>
    <t>IMPRESORA TERMICA MARCA ZEBRA MOD. GK420</t>
  </si>
  <si>
    <t>1241-1-49</t>
  </si>
  <si>
    <t xml:space="preserve">EXTINGUIDOR </t>
  </si>
  <si>
    <t>1241-9-03</t>
  </si>
  <si>
    <t>FOTOCOPIADORA SHARP</t>
  </si>
  <si>
    <t>1241-9-05</t>
  </si>
  <si>
    <t>AUDIFONOS PARA IDIOMAS</t>
  </si>
  <si>
    <t>BD85642</t>
  </si>
  <si>
    <t>1241-9-06</t>
  </si>
  <si>
    <t>CAMARA ALPHA DSLRA200 K C/18/70 EST LCSAMA TAR 1G</t>
  </si>
  <si>
    <t>ADG205517</t>
  </si>
  <si>
    <t>1241-9-07</t>
  </si>
  <si>
    <t>PANTALLA LED SHARP LED CON SOPORTE</t>
  </si>
  <si>
    <t>1241-9-08</t>
  </si>
  <si>
    <t>REFRIGERADOR ACROS ARPOSTXLQ BIS</t>
  </si>
  <si>
    <t>1241-9-09</t>
  </si>
  <si>
    <t>REFRIGERADOR DE EXIBICION MODELO VR12</t>
  </si>
  <si>
    <t>2326-FACJ</t>
  </si>
  <si>
    <t>1241-9-10</t>
  </si>
  <si>
    <t>CARRO CONSERJE C/BOLSA VINIL NEGRO</t>
  </si>
  <si>
    <t>ELECTRÓNICO</t>
  </si>
  <si>
    <t>1241-9-11</t>
  </si>
  <si>
    <t>PULIDORA PARA PISO</t>
  </si>
  <si>
    <t>1241-3-35</t>
  </si>
  <si>
    <t>CONTROL LECTOR BIOMETRICO DE HUELLA PARA MONTAJE EN MURO</t>
  </si>
  <si>
    <t>CAFETERA PARA EXPRESSO HAMILTON BEACMOD</t>
  </si>
  <si>
    <t>RADIO GRABADORA SONY CFD-RG880CP</t>
  </si>
  <si>
    <t>00080-1</t>
  </si>
  <si>
    <t>2 KIT DE ALARMA POWER 832 BASICO</t>
  </si>
  <si>
    <t>L1355</t>
  </si>
  <si>
    <t>MICROFONO SHURE C/ CABLE DE BAJA IMP</t>
  </si>
  <si>
    <t>A16433</t>
  </si>
  <si>
    <t>TV. LED SAMSUNG DE 46 PULGADAS</t>
  </si>
  <si>
    <t>SISTEMA HIDRONEUMATICO QUE SE COMPONE DE BOMBA MTB. CENT. HORIZONTAL ALTAMIRA DE 2 HP 3F-220/460V. 1. TANQUE PRECARGADO ALTAPRO X65 GAL.1. CONECCION DE CINCO VIAS EN BRONCE 1"/110MM LONG.  1. MANOMETRO ALTAMIRA GLICER 0-100PSI 1. SWITCH DE PRES 30-50PSI 20 AMP. HEMBRA ALTA 1. ARRANCADOR MAG. T/PLENA 505-8a 220V. T PES.TELEME 1. SCALADRIVE 130-2HP 3X230V. A 1X230V.</t>
  </si>
  <si>
    <t>CAMARA WEB MARCA LOGITECH MODELO C920</t>
  </si>
  <si>
    <t>CAMARA BALA EPCOM EYB115F</t>
  </si>
  <si>
    <t>CAMARA MERIVA 650TVL CCD SONY SUPER HAD II</t>
  </si>
  <si>
    <t>AB174468</t>
  </si>
  <si>
    <t>RADIO PORTATIL PROFESIONAL DE LARGO ALC. RAD-510</t>
  </si>
  <si>
    <t>202-G000156110</t>
  </si>
  <si>
    <t>1242-1-01</t>
  </si>
  <si>
    <t>PROYECTOR DE ACETATOS 3M 1830</t>
  </si>
  <si>
    <t>1242-1-02</t>
  </si>
  <si>
    <t>EQUIPO DE SONIDO</t>
  </si>
  <si>
    <t>EPSON  POWERLITE X24+ 3LCD, XGA 1024 X 768, 3500 LÚMENES, INALAMBRICO, BLANCO</t>
  </si>
  <si>
    <t>A6</t>
  </si>
  <si>
    <t>1242-3-5231</t>
  </si>
  <si>
    <t>CAMARA DIGITAL CANON A-2500</t>
  </si>
  <si>
    <t>1242-9-04</t>
  </si>
  <si>
    <t>XTEND 240 CON PANELES 4 LAMPARAS 18 CANALETAS Y MALETA</t>
  </si>
  <si>
    <t>1242-9-05</t>
  </si>
  <si>
    <t>DEMOSET RDO. SOMBRILLA Y MALETA</t>
  </si>
  <si>
    <t>00011-1</t>
  </si>
  <si>
    <t>287259H</t>
  </si>
  <si>
    <t>1242-9-07</t>
  </si>
  <si>
    <t>LOTE DE LIBROS</t>
  </si>
  <si>
    <t>8048A</t>
  </si>
  <si>
    <t>1242-9-06</t>
  </si>
  <si>
    <t>1242-9-01</t>
  </si>
  <si>
    <t>JUEGO DE AJEDREZ T. OFICIAL</t>
  </si>
  <si>
    <t>1242-9-02</t>
  </si>
  <si>
    <t>TABLERO DE VINIL T. OFICIAL COLOR VERDE</t>
  </si>
  <si>
    <t>1242-9-03</t>
  </si>
  <si>
    <t>RELOJ DE AJEDREZ DIGITAL</t>
  </si>
  <si>
    <t>1242-9-5291</t>
  </si>
  <si>
    <t>MARACAS DE CUERO</t>
  </si>
  <si>
    <t>VIBRA SLAP ( SILVER TONE )</t>
  </si>
  <si>
    <t>CLAVES GRANADILLO ( PALOS DE GOLPE )</t>
  </si>
  <si>
    <t>PANDERO MADERA</t>
  </si>
  <si>
    <t>E466</t>
  </si>
  <si>
    <t>BONGOS EXTREME INSTRUMENTO DE PERCUCION</t>
  </si>
  <si>
    <t>ACCESORIO PARCHE DE CUERO BONGO</t>
  </si>
  <si>
    <t>PARCHE DE CUEERO P/BONGO "9" EXTREME</t>
  </si>
  <si>
    <t>CAMPANA CHINA SILVERTONE ( 36 PZA. )</t>
  </si>
  <si>
    <t>TAHALI P/GUITARRA ( 10PZS LISTON PARA HOMBRO )</t>
  </si>
  <si>
    <t>FUNDA BONGOS</t>
  </si>
  <si>
    <t>CAPO PRESION NEGRO THUNDER</t>
  </si>
  <si>
    <t>A-78</t>
  </si>
  <si>
    <t>MUEBLE ESPECIALIZADO DEL SISTEMA DIEDRICO A BASE DE ACRILICO 4 MM</t>
  </si>
  <si>
    <t>1243-1-02</t>
  </si>
  <si>
    <t>MICROPIPETA 1-10UL VO..</t>
  </si>
  <si>
    <t>1243-1-03</t>
  </si>
  <si>
    <t>REFRACTOMETRO ABBE CON BASE</t>
  </si>
  <si>
    <t>1243-1-04</t>
  </si>
  <si>
    <t>BURETA 50 ML, EQUIPO PARA LABORATORIO ITSLAHUERTA</t>
  </si>
  <si>
    <t>BURETA 50 MML, EQUIPO PARA LABORATORIO ITSLAHUERTA</t>
  </si>
  <si>
    <t>EQUIPO PARA LABORATORIO ITSLAHUERTA</t>
  </si>
  <si>
    <t>1243-1-01</t>
  </si>
  <si>
    <t>EQUIPO DE DESTILACION CIVEK S/M</t>
  </si>
  <si>
    <t>SOPORTE PARA EMBUDOS CIVEK</t>
  </si>
  <si>
    <t>GANCHO PARA TERMOMETRO CIVEK (5 PIEZAS)</t>
  </si>
  <si>
    <t>MATRAZ CIVEK 500 MML CODIGO 31 (15 PIEZAS)</t>
  </si>
  <si>
    <t>MATRAZ CIVEK 250 MML CODIGO 32 (15 PIEZAS)</t>
  </si>
  <si>
    <t>MATRAZ CIVEK DE 100 MML CODIGO 33 (10 PIEZAS)</t>
  </si>
  <si>
    <t>MORTERO CIVEK CODIGO 34 (10 PIEZAS)</t>
  </si>
  <si>
    <t>PROBETA CIVEK CODIGO 35 (10 PIEZAS)</t>
  </si>
  <si>
    <t>PAPEL CIVEK CODIGO 36 (5 PIEZAS)</t>
  </si>
  <si>
    <t>PAPEL CIVEK CODIGO 37 (5 PIEZAS)</t>
  </si>
  <si>
    <t>PAPEL CIVEK CODIGO 38 (5 PIEZAS)</t>
  </si>
  <si>
    <t>PAPEL CIVEK CODIGO 39 (5 PIEZAS)</t>
  </si>
  <si>
    <t>PIPETA CIVEK CODIGO 41 (5 PIEZAS)</t>
  </si>
  <si>
    <t>PIPETA CIVEK CODIGO 42 (5  PIEZAS)</t>
  </si>
  <si>
    <t>PIPETA CIVEK CODIGO 44 (5 PIEZAS)</t>
  </si>
  <si>
    <t>MATRAZA FORADO DE 100 MML CIVEK CODIGO 45 (5 PIEZAS)</t>
  </si>
  <si>
    <t>TUBO CIVEK CODIGO 53 (10 PIEZAS)</t>
  </si>
  <si>
    <t>REFRIGERADOR HINOTEK CODIGO 56 (5 PIEZAS)</t>
  </si>
  <si>
    <t>REFRIGERADOR HINOTEK CODIGO 57 (5 PIEZAS)</t>
  </si>
  <si>
    <t>MATRAZ CIVEK CODIGO 58 (10 PIEZAS)</t>
  </si>
  <si>
    <t>MATRAZ CIVEK 500 MML  CODIGO 59 (10 PIEZAS)</t>
  </si>
  <si>
    <t>MATRAZ CIVEK 250 MML CODIGO 60 (10 PIEZAS)</t>
  </si>
  <si>
    <t>EMBUDO CIVEK CODIGO 68 (5 PIEZAS)</t>
  </si>
  <si>
    <t>EMBUDO CIVEK CODIGO 69 (5 PIEZAS)</t>
  </si>
  <si>
    <t>EMBUDO CIVEK CODIGO 70 (5 PIEZAS)</t>
  </si>
  <si>
    <t>EMBUDO CIVEK CODIGO 71 (5 PIEZAS)</t>
  </si>
  <si>
    <t>EMBUDO CIVEK CODIGO 76 (5 PIEZAS)</t>
  </si>
  <si>
    <t>MICROSCOPIO CON ESTANTIVO ERGONOMICO PIRAMIDAL Y CABEZAL</t>
  </si>
  <si>
    <t>GRADILLA DE ALAMBRE P/40 TUBOS 22MM (5 PZAS)</t>
  </si>
  <si>
    <t>CRISOL FA30ML C/TAPA VELAQUIN (15 PZAS)</t>
  </si>
  <si>
    <t>MATRAZ AFORADO CON TAPON DE VIDRIO DE 100 ML MARCA BOROSIL (10 PZAS)</t>
  </si>
  <si>
    <t>VASO DE PRECIPITADOS FORMA BAJA 1000ML MARCA DURAN (10 PZAS)</t>
  </si>
  <si>
    <t>VASO DE PRECIPITADOS FORMA BAJA 600ML MARCA DURAN (10 PZAS)</t>
  </si>
  <si>
    <t>VASO DE PRECIPITADOS FORMA BAJA 250ML MARCA DURAN (10 PZAS)</t>
  </si>
  <si>
    <t>TUBO DIGESTOR DE 800ML MARCA KIMAX (15 PIEZAS)</t>
  </si>
  <si>
    <t>MATRAZ ERLENMEYER CUELLO ANGOSTO GRADUADO 500ML MARCA DURAN (10 PZAS)</t>
  </si>
  <si>
    <t>EMBUDO DE SOUIBB CON LLAVE DE TEFLON PERA DE DECANTACION 1000ML MARCA GLASSTECH (5 PIEZAS)</t>
  </si>
  <si>
    <t>ESCURRIDOR PARA VASOS Y MATRACES, DE</t>
  </si>
  <si>
    <t>SOPORTE PARA MONTAJE (UNIVERSAL)</t>
  </si>
  <si>
    <t>SOPORTE PARA PIPETAS PLASTICO Y MADERA</t>
  </si>
  <si>
    <t>MATRAZ ESFERICO FONDO PLANO (10 PZAS)</t>
  </si>
  <si>
    <t>MATRAZ AFORADO GRANDE TAPON DE  VIDRIO DE 500 (10 PZAS)</t>
  </si>
  <si>
    <t>MATRAZ AFORADO MEDIANO TAPON DE VIDRIO 250 (10 PZAS)</t>
  </si>
  <si>
    <t>TERMOMETROS PARA REFRIGERADOR</t>
  </si>
  <si>
    <t>ESPATULAS AC CON MANGO DE MAD DE 15 (10 PZAS)</t>
  </si>
  <si>
    <t>ESCOBILLON PARA MATRAZ AFORADO (5 PZAS)</t>
  </si>
  <si>
    <t>ESCOBILLON PARA BURETA (5 PZAS)</t>
  </si>
  <si>
    <t>EMBUDO DE FILTRACION DE 250ML KITAZATO (5 PZAS)</t>
  </si>
  <si>
    <t>ESPATULA MUESTREADORA (5 PZAS)</t>
  </si>
  <si>
    <t>EMBUDO ESTRIADO DE TALLO CORTO (5 PZAS)</t>
  </si>
  <si>
    <t>EMBUDO BUCHNER (5 PIEZAS)</t>
  </si>
  <si>
    <t>CAJA PETRI 100X15MM MARCA DURAN (50 PZAS)</t>
  </si>
  <si>
    <t>CAJA PETRI CON 2 COMPARTIMENTOS (50 PZAS)</t>
  </si>
  <si>
    <t>REFRACTOMETRO MARCA ALLA FRANCE MODELO B-ATC MANUAL</t>
  </si>
  <si>
    <t>1246-6-08</t>
  </si>
  <si>
    <t>TRANSMISOR Y RECEPTOR DE MICROONDAS</t>
  </si>
  <si>
    <t>1246-2-45</t>
  </si>
  <si>
    <t>DESECADOR DE PLASTICO, EQUIPO PARA LABORATOTIO ITSLAHUERTA</t>
  </si>
  <si>
    <t>POLARIMETRO</t>
  </si>
  <si>
    <t>VISCOSIMETRO ANALOGO DE 120V/60HZ CON 8 INCREMENTOS</t>
  </si>
  <si>
    <t>PISETA INTEGRAL DE POLIPROPILENO DE 500 (3 PIEZAS)</t>
  </si>
  <si>
    <t>ALCOHOLIMETRO 0-10 GAY LUSAC  (2 pzs)</t>
  </si>
  <si>
    <t>VARILLA PARA MONTAJE MARCA APSA (10 PIEZAS)</t>
  </si>
  <si>
    <t>VARILLA RECOGEIMANES MCA BRANDD (3 PIEZAS)</t>
  </si>
  <si>
    <t>TALADRA DE TAPONES DE 9 ALAS</t>
  </si>
  <si>
    <t>PINZAS PARA TERMOMETRO CON AGARRE (5 PIEZAS)</t>
  </si>
  <si>
    <t>PINZAS DOBLE P/BURETA MARCA APSA (5 PIEZAS)</t>
  </si>
  <si>
    <t>PINZAS MOHR MARCA APSA CAT GP 1100  (8 piezas)</t>
  </si>
  <si>
    <t>FLORENCIA MARCA DURAN CAT 21721-54 (10 PZAS)</t>
  </si>
  <si>
    <t>ESTUCHE DE LUPAS/DIFERENTES MEDIDAS</t>
  </si>
  <si>
    <t>CUBETA PARA TINCION MARCA DURAN (10 PIEZAS)</t>
  </si>
  <si>
    <t>MAQUINARIA</t>
  </si>
  <si>
    <t>1246-2-12</t>
  </si>
  <si>
    <t>AGITADOR DE TAMICES MARCA DURATAP</t>
  </si>
  <si>
    <t>AL11901</t>
  </si>
  <si>
    <t>VEHICULO</t>
  </si>
  <si>
    <t>1244-1-04</t>
  </si>
  <si>
    <t>VEHICULO HIACE 15 PASAJEROS 2009 (5611) TOYOTA</t>
  </si>
  <si>
    <t>T00665</t>
  </si>
  <si>
    <t>1244-1-01</t>
  </si>
  <si>
    <t>VEHICULO CHEVY 2009 4 PUERTAS BLANCO OLIMPICO MARCA CHEVROLET</t>
  </si>
  <si>
    <t>AL11942</t>
  </si>
  <si>
    <t>1244-1-03</t>
  </si>
  <si>
    <t>VEHICULO HILUX DOBLE CABINA AC 2009 (7497) MARCA TOYOTA</t>
  </si>
  <si>
    <t>1244-01-05</t>
  </si>
  <si>
    <t>VEHICULO FORD FUSION S I4 TA 4 CILINDROS 5 PASAJEROS</t>
  </si>
  <si>
    <t>J4730</t>
  </si>
  <si>
    <t>1244-1-06</t>
  </si>
  <si>
    <t>AUTOBUS CHASIS PASAJE MODELO 3000 RE 260 HP TRAVELER (INTERNATIONAL)</t>
  </si>
  <si>
    <t>COMODATO</t>
  </si>
  <si>
    <t>1244-1-07 Y 7630-06-01</t>
  </si>
  <si>
    <t>CAMION DE, 2 PUERTAS22 PASAJEROS MARCA FOTON AUMARK 5000</t>
  </si>
  <si>
    <t>AUTV1946</t>
  </si>
  <si>
    <t>1244-1-5411</t>
  </si>
  <si>
    <t>VEHICULO CHEVROLET AVEO 4 PTAS BASICO PAQUETE A MANUAL</t>
  </si>
  <si>
    <t>3324/EA</t>
  </si>
  <si>
    <t>VEHICULO NISSAN TIDA SEDAN DRIVE T/M C/A</t>
  </si>
  <si>
    <t>3325/EA</t>
  </si>
  <si>
    <t xml:space="preserve">VEHICULO NISSAN NP300 ESTACAS T/M DH </t>
  </si>
  <si>
    <t xml:space="preserve">MAQUINARIA </t>
  </si>
  <si>
    <t>1246-1-01</t>
  </si>
  <si>
    <t>TRACTOR MURRAY 48" (LT-48) MOTOR B&amp;S 24</t>
  </si>
  <si>
    <t>COLECTOR PARA TRACTOR MURRAY (LT-48)</t>
  </si>
  <si>
    <t>1246-1-5611</t>
  </si>
  <si>
    <t>PODADORA HUQSVARNA R152SV</t>
  </si>
  <si>
    <t>DESBROZADORA HUQSVARNA DE 45.5 CC. 345FR</t>
  </si>
  <si>
    <t>SOPLADOR  HUQSVARNA 75.6 CC. 580BTS</t>
  </si>
  <si>
    <t>MOTOSIERRA HUQSVARNA 18"</t>
  </si>
  <si>
    <t>1246-2-08</t>
  </si>
  <si>
    <t>DESECADOR 200 MM KIIM</t>
  </si>
  <si>
    <t>1246-2-09</t>
  </si>
  <si>
    <t>BOMBA DE VACIO 36 LT</t>
  </si>
  <si>
    <t>1246-2-44</t>
  </si>
  <si>
    <t>BAÑO TERMOSTATO, EQUIPO PARA LABORATORIO ITSLAHUERTA</t>
  </si>
  <si>
    <t>1246-2-01</t>
  </si>
  <si>
    <t>EXTRACTOR DE JUGOS</t>
  </si>
  <si>
    <t>1246-2-02</t>
  </si>
  <si>
    <t>LICUADORA</t>
  </si>
  <si>
    <t>1246-2-03</t>
  </si>
  <si>
    <t>SECADOR DE CHAROLAS</t>
  </si>
  <si>
    <t>1246-2-04</t>
  </si>
  <si>
    <t>ENVASADORA DE BOLSAS AL VACIO</t>
  </si>
  <si>
    <t>1246-2-05</t>
  </si>
  <si>
    <t>FERMENTADOR</t>
  </si>
  <si>
    <t>1246-2-06</t>
  </si>
  <si>
    <t>DESPULPADORA</t>
  </si>
  <si>
    <t>1246-2-07</t>
  </si>
  <si>
    <t>DESCREMADORA</t>
  </si>
  <si>
    <t>TRAMPA DE AGUA PARA VACIO (3 PIEZAS)</t>
  </si>
  <si>
    <t>1246-2-10</t>
  </si>
  <si>
    <t>PROCESADOR DE FRUTAS Y VERDURAS</t>
  </si>
  <si>
    <t>1246-2-11</t>
  </si>
  <si>
    <t>ROTOVAPOR VERTICAL MARCA YAMATO</t>
  </si>
  <si>
    <t>1246-2-13</t>
  </si>
  <si>
    <t>BOMBA PERISTALTICA TOM 3-400 RPM CATALOGO DAIGGER</t>
  </si>
  <si>
    <t>1246-2-14</t>
  </si>
  <si>
    <t xml:space="preserve">DESTILADOR SIMPLE </t>
  </si>
  <si>
    <t>1246-2-15</t>
  </si>
  <si>
    <t>CUARTO FRIO PARA CONSERVACION DE ALIMENTOS MARCA TORREY</t>
  </si>
  <si>
    <t>1246-2-16</t>
  </si>
  <si>
    <t>EXTRACTOR-DESTILADOR LIKENS NIKERSON</t>
  </si>
  <si>
    <t>1246-2-17</t>
  </si>
  <si>
    <t>MOLINO DE GRANOS</t>
  </si>
  <si>
    <t>1246-2-18</t>
  </si>
  <si>
    <t>DOSIFICADOR SEMIAUTOMATICO (DOSIFICADORA DE LIQUIDOS VISCOSOS</t>
  </si>
  <si>
    <t>1246-2-19</t>
  </si>
  <si>
    <t xml:space="preserve">MARMITA </t>
  </si>
  <si>
    <t>1246-2-20</t>
  </si>
  <si>
    <t>LAVADORA DE FRUTAS Y VERDURAS HERAMEZ</t>
  </si>
  <si>
    <t>1246-2-21</t>
  </si>
  <si>
    <t>TANQUE PARA LAVADO HERAMEZ</t>
  </si>
  <si>
    <t>1246-2-22</t>
  </si>
  <si>
    <t>FILTRO PRENSA CON PLACAS TELETERNIX</t>
  </si>
  <si>
    <t>1246-2-23</t>
  </si>
  <si>
    <t>TANQUE MEZCLADOR CON LLENADOR DE SIFON</t>
  </si>
  <si>
    <t>1246-2-24</t>
  </si>
  <si>
    <t>APARATO ORSAT PARA ANALISIS DE GASES DE COMBUSTION</t>
  </si>
  <si>
    <t>1246-2-25</t>
  </si>
  <si>
    <t>SISTEMA DE PASTEURIZACION DE FORMA AUTOMATICA</t>
  </si>
  <si>
    <t>1246-2-26</t>
  </si>
  <si>
    <t xml:space="preserve">MANTEQUILLADORA </t>
  </si>
  <si>
    <t>1246-2-27</t>
  </si>
  <si>
    <t>ANALIZADOR DE ESPECTROS</t>
  </si>
  <si>
    <t>1246-2-28</t>
  </si>
  <si>
    <t>KIT DE DINAMOMETRO DE PRESION Y TENSION</t>
  </si>
  <si>
    <t>1246-2-29</t>
  </si>
  <si>
    <t>CALORIMETRO (2 PZAS)</t>
  </si>
  <si>
    <t>1246-2-30</t>
  </si>
  <si>
    <t>SENSOR DE TERMOPAR DE 200 A +1200°C</t>
  </si>
  <si>
    <t>1246-2-31</t>
  </si>
  <si>
    <t>BALANZA MAGNETICA</t>
  </si>
  <si>
    <t>1246-2-33</t>
  </si>
  <si>
    <t>PLANTA PURIFICADORA DE AGUA</t>
  </si>
  <si>
    <t>1246-2-34</t>
  </si>
  <si>
    <t>EMPACADORA AUTOMATICA DE LIQUIDOS</t>
  </si>
  <si>
    <t>1246-2-35</t>
  </si>
  <si>
    <t>BALANZA DE TORSION</t>
  </si>
  <si>
    <t>1246-2-36</t>
  </si>
  <si>
    <t>FRECUENCIOMETRO DIGITAL</t>
  </si>
  <si>
    <t>1246-2-37</t>
  </si>
  <si>
    <t>MANOMETRO</t>
  </si>
  <si>
    <t>1246-2-38</t>
  </si>
  <si>
    <t>VACUMETRO</t>
  </si>
  <si>
    <t>1246-2-39</t>
  </si>
  <si>
    <t>CELDA DE PRESION</t>
  </si>
  <si>
    <t>1246-2-40</t>
  </si>
  <si>
    <t xml:space="preserve">ESPECTROFOTOMETRO DE ULTRAVIOLETA Y VISIBLE VARIAN </t>
  </si>
  <si>
    <t>1246-2-41</t>
  </si>
  <si>
    <t>TESLAMETRO CON SONDA DE CAMPO MAGNETICO FLEXIBLE</t>
  </si>
  <si>
    <t>1246-2-42</t>
  </si>
  <si>
    <t>GRUPO MOTOR GENERADOR</t>
  </si>
  <si>
    <t>1246-2-5621</t>
  </si>
  <si>
    <t>HORNO ELECTRICO HAMILTON BEACH 31100</t>
  </si>
  <si>
    <t>CFDI505</t>
  </si>
  <si>
    <t>EMBUTIDOR DE CARNE TORREY</t>
  </si>
  <si>
    <t>1241-9-04</t>
  </si>
  <si>
    <t>AIRE ACONDICIONADO</t>
  </si>
  <si>
    <t>1246-2-43</t>
  </si>
  <si>
    <t>COMPRESOR DE 500LTS MARCA STARLINE MOTOR DE 5 H.P TRIFASICO</t>
  </si>
  <si>
    <t>171A</t>
  </si>
  <si>
    <t>EQUIPO DE AIRE ACONDICIONADO TIPO MINISPLIT MARCA LG</t>
  </si>
  <si>
    <t>A19210</t>
  </si>
  <si>
    <t>1246-7-5671</t>
  </si>
  <si>
    <t>VENTILADOR MYTEK</t>
  </si>
  <si>
    <t>202-D000060269</t>
  </si>
  <si>
    <t>1241-9-01</t>
  </si>
  <si>
    <t>FAX HP 1040 PAPEL BOND</t>
  </si>
  <si>
    <t>E35188</t>
  </si>
  <si>
    <t>1246-5-01</t>
  </si>
  <si>
    <t>CELULAR SONY</t>
  </si>
  <si>
    <t>1246-5-02</t>
  </si>
  <si>
    <t>TELEFONO PANASONIC MULTILINEAS</t>
  </si>
  <si>
    <t xml:space="preserve">POTENCIOMETRO DIGITAL DE MESA DE RANGO 2A 16 PH </t>
  </si>
  <si>
    <t>1246-6-01</t>
  </si>
  <si>
    <t>OSCILOSCOPIO DIGITAL</t>
  </si>
  <si>
    <t>1246-6-02</t>
  </si>
  <si>
    <t>FUENTE DE PODER MARCA EXTECH</t>
  </si>
  <si>
    <t>1246-6-03</t>
  </si>
  <si>
    <t xml:space="preserve">MULTIMETRO DIGITAL </t>
  </si>
  <si>
    <t>1246-6-04</t>
  </si>
  <si>
    <t>GENERADOR VAN DE GRAFF C/ESFERA DE DESCARGA ELECTROSCOPICO</t>
  </si>
  <si>
    <t>1246-6-05</t>
  </si>
  <si>
    <t>PUENTES DE IMPEDANCIA</t>
  </si>
  <si>
    <t>1246-6-06</t>
  </si>
  <si>
    <t>BANCO OPTICO Y ACCESORIOS CON LASER</t>
  </si>
  <si>
    <t>1246-6-09</t>
  </si>
  <si>
    <t>BOMBA CENTRIFUGAS</t>
  </si>
  <si>
    <t>1246-6-10</t>
  </si>
  <si>
    <t>ELECTROMETRO</t>
  </si>
  <si>
    <t>1246-6-11</t>
  </si>
  <si>
    <t>FUENTE DE LUZ  (ELECTROMETRO, TESLAMETRO Y MOTOR GENERADOR)</t>
  </si>
  <si>
    <t>NOBREAK APC SUA2200RM2U</t>
  </si>
  <si>
    <t>1246-7-04</t>
  </si>
  <si>
    <t>PODADORA A GASOLINA SS HP P-22SSH C/BOLSA LATERAL</t>
  </si>
  <si>
    <t>1246-7-05</t>
  </si>
  <si>
    <t>DESBROZADORA PASTO</t>
  </si>
  <si>
    <t>1246-7-01</t>
  </si>
  <si>
    <t>ESCALERA DE 24 PELDAÑOS</t>
  </si>
  <si>
    <t>5933A</t>
  </si>
  <si>
    <t>1246-7-02</t>
  </si>
  <si>
    <t>BOMBA MANUAL DE GRASAS</t>
  </si>
  <si>
    <t>FE25</t>
  </si>
  <si>
    <t>1246-7-03</t>
  </si>
  <si>
    <t>SOLDADORA 250 AMP. SUPER DELTA</t>
  </si>
  <si>
    <t>A1316</t>
  </si>
  <si>
    <t>1241-1-46</t>
  </si>
  <si>
    <t>LAVADORA ALTA PRESION AGUA FRIA ELECTRICA</t>
  </si>
  <si>
    <t>1241-1-47</t>
  </si>
  <si>
    <t xml:space="preserve">EQUIPO DE ASPIRACIÓN </t>
  </si>
  <si>
    <t>9407A</t>
  </si>
  <si>
    <t>1246-7-06</t>
  </si>
  <si>
    <t>DESBROZADORA HUSQVARNA</t>
  </si>
  <si>
    <t>SIERRA INGLETEADORA 112" AMP 4000 RPM</t>
  </si>
  <si>
    <t>SIERRA CALADORA  500 W 0-3000 CPM 7 VEL CON LUZ DE LED</t>
  </si>
  <si>
    <t>SIERRA CAL.ADORA 500 W 0-3000 CPM 7 VEL CON LUZ DE LED</t>
  </si>
  <si>
    <t>LIJADORA DE BANDA 3"X24" 12 AMP DeWall</t>
  </si>
  <si>
    <t>ROTOMARTILLO SDS PLUS 7/8" 650W 2.4 J VVR 550 IPM</t>
  </si>
  <si>
    <t>TALADRO / DEST. DEWALT</t>
  </si>
  <si>
    <t>CLAVADORA 7/16 1 A 2 PORTER CABLE</t>
  </si>
  <si>
    <t>CORTASETOS ARTICULADO HUQSVARNA 24.5 CC</t>
  </si>
  <si>
    <t>PODADORA HUQSVARNA BRIGSS &amp; STRATTON</t>
  </si>
  <si>
    <t>42530-FACJ</t>
  </si>
  <si>
    <t>SECADOR FUTURA OPTICO (JOKEL)</t>
  </si>
  <si>
    <t>FE 18505</t>
  </si>
  <si>
    <t>MINIESMERILADORA ANGULAR DE 4 1/2 MILWAUKEE</t>
  </si>
  <si>
    <t>TALADRO ROTOMARTILLO INALAMBRICO 1/2 18V MILWAUKEE</t>
  </si>
  <si>
    <t>SIERRA CIRCULAR DE7 1/4"  15 AMP. 1800W MILWAUKEE</t>
  </si>
  <si>
    <t>COMPRESOR DE 2.5 HP 24LTS GONI</t>
  </si>
  <si>
    <t>ESMERIL DE BANCO 6" 2850 RP MAKITA</t>
  </si>
  <si>
    <t>FE 18508</t>
  </si>
  <si>
    <t>ROTOMARTILLO SDSPLUS 3 FUNCIONES 7/8" MILWAUKEE</t>
  </si>
  <si>
    <t>FE 18189</t>
  </si>
  <si>
    <t>AMPERIMETRO DIGITAL TRUPER MODELO; MUT-202</t>
  </si>
  <si>
    <t>BOMBA DE AGUA MARCA TRUPER</t>
  </si>
  <si>
    <t>FE 19325</t>
  </si>
  <si>
    <t>TALADRO ATORNILLADOR 20V 1/2 DEWALT DCD776C2 CON 2 BATERIAS</t>
  </si>
  <si>
    <t>FE 19741</t>
  </si>
  <si>
    <t>SIERRA CIRCULAR DE 7 1/4"  15 AMP. 1800W MILWAUKEE</t>
  </si>
  <si>
    <t>00001-1</t>
  </si>
  <si>
    <t>FE495</t>
  </si>
  <si>
    <t>1246-3-01</t>
  </si>
  <si>
    <t>PAQ. EQUIPAM.TALLER DE TOPOG. (Estación total SOKKIA Set-530RK3) Cable, CD, Cargador, Batería, Brújula, Bastón, Tripié, Estuche, Funda, Prisma y Portaprisma.</t>
  </si>
  <si>
    <t>00001-2</t>
  </si>
  <si>
    <t>PAQ. EQUIPAM.TALLER DE TOPOG. (GPS MOBILEMAPPER 6) Cable USB, 5 Puntas Stylus, CD con licencia windows Mobile 6 y Mobile Mapping.</t>
  </si>
  <si>
    <t>00001-3</t>
  </si>
  <si>
    <t>PAQ. EQUIPAM.TALLER DE TOPOG.                                                    (Cinta de Acero/Nylon CST con cruceta 30 Mts)</t>
  </si>
  <si>
    <t>00001-4</t>
  </si>
  <si>
    <t>PAQ. EQUIPAM.TALLER DE TOPOG.                                                           (Cinta de Acero/Nylon CST con cruceta 30 Mts)</t>
  </si>
  <si>
    <t>00001-5</t>
  </si>
  <si>
    <t>PAQ. EQUIPAM.TALLER DE TOPOG.                                                               (Cinta de Acero/Nylon CST con cruceta 30 Mts)</t>
  </si>
  <si>
    <t>00001-6</t>
  </si>
  <si>
    <t>PAQ. EQUIPAM.TALLER DE TOPOG.                                                                    Cinta de Acero/Nylon CST con cruceta 50 Mts</t>
  </si>
  <si>
    <t>00001-7</t>
  </si>
  <si>
    <t>00001-8</t>
  </si>
  <si>
    <t>PAQ. EQUIPAM.TALLER DE TOPOG.                                                (Cinta de Acero/Nylon CST con cruceta 50 Mts)</t>
  </si>
  <si>
    <t>00001-9</t>
  </si>
  <si>
    <t>PAQ. EQUIPAM.TALLER DE TOPOG. (Prisma unitario con portaprisma, funda y adaptador. Manual)</t>
  </si>
  <si>
    <t>00001-10</t>
  </si>
  <si>
    <t>00001-11</t>
  </si>
  <si>
    <t>00001-12</t>
  </si>
  <si>
    <t>00001-13</t>
  </si>
  <si>
    <t>PAQ. EQUIPAM.TALLER DE TOPOG.                                             (Baston de aplomar de 3.7 mts. con funda)</t>
  </si>
  <si>
    <t>00001-14</t>
  </si>
  <si>
    <t>PAQ. EQUIPAM.TALLER DE TOPOG.                                                     (Baston de aplomar de 3.7 mts. con funda)</t>
  </si>
  <si>
    <t>00001-15</t>
  </si>
  <si>
    <t>PAQ. EQUIPAM.TALLER DE TOPOG.                                                   (Baston de aplomar de 3.7 mts. con funda)</t>
  </si>
  <si>
    <t>00001-16</t>
  </si>
  <si>
    <t>PAQ. EQUIPAM.TALLER DE TOPOG.                                            (Estadal de aluminio de 5mts. Con funda y niveleta)</t>
  </si>
  <si>
    <t>00001-17</t>
  </si>
  <si>
    <t>PAQ. EQUIPAM.TALLER DE TOPOG.                                               (Estadal de aluminio de 5mts. Con funda y niveleta)</t>
  </si>
  <si>
    <t>00001-18</t>
  </si>
  <si>
    <t>PAQ. EQUIPAM.TALLER DE TOPOG.                                             (Estadal de aluminio de 5mts. Con funda y niveleta)</t>
  </si>
  <si>
    <t>00001-19</t>
  </si>
  <si>
    <t>00001-20</t>
  </si>
  <si>
    <t>00001-21</t>
  </si>
  <si>
    <t>00001-22</t>
  </si>
  <si>
    <t>00001-23</t>
  </si>
  <si>
    <t>00001-24</t>
  </si>
  <si>
    <t>00001-25</t>
  </si>
  <si>
    <t>00001-26</t>
  </si>
  <si>
    <t>00001-27</t>
  </si>
  <si>
    <t>00001-28</t>
  </si>
  <si>
    <t>00001-29</t>
  </si>
  <si>
    <t>00001-30</t>
  </si>
  <si>
    <t>00001-31</t>
  </si>
  <si>
    <t>00001-32</t>
  </si>
  <si>
    <t>00001-33</t>
  </si>
  <si>
    <t>00001-34</t>
  </si>
  <si>
    <t>PAQ. EQUIPAM.TALLER DE TOPOG. (Nivel automático de precisión SOKKIA B-20) Con estadal aluminio teles 4m/cm CST con funda, tripié de aluminio uso rudo 5/8" y cinta de fibra de vidrio.</t>
  </si>
  <si>
    <t>00001-35</t>
  </si>
  <si>
    <t>00001-36</t>
  </si>
  <si>
    <t>00001-37</t>
  </si>
  <si>
    <t>00001-38</t>
  </si>
  <si>
    <t>PAQ. EQUIPAM.TALLER DE TOPOG. (GPS DE ALTA PRESICION PROMARK3) Batería, medidor, cable, soporte, cable usb, módulo acoplable, cargador, base nivelante, adaptador, receptor base, receptor rover, cd, mochila, funda, antena, tarjeta y tripié.</t>
  </si>
  <si>
    <t>00001-39</t>
  </si>
  <si>
    <t>00001-40</t>
  </si>
  <si>
    <t>00001</t>
  </si>
  <si>
    <t>1246-9-5694</t>
  </si>
  <si>
    <t xml:space="preserve">AGITADOR MAGNETICO MOD SP131325 CIMAREC MARCA THERMOLYNE </t>
  </si>
  <si>
    <t>00002</t>
  </si>
  <si>
    <t>TERMOMETRO DE PENETRACION DIGITAL MOD. 392050 MARCA EXTECH</t>
  </si>
  <si>
    <t>00004</t>
  </si>
  <si>
    <t>CFDI N° 533</t>
  </si>
  <si>
    <t>Estación Meteorológica Contiene lo siguiente:1 Estación Meteorológica inalámbrica VANTAGE PRO2
PLUS INALÁMBRICA MOD. 6162 MCA. DAVIS 1Estación inalámbrica de Temperatura y Humedad
de suelo y hojas MOD.6345 MCA. DAVIS incluye: 2 sondas de temperatura del suelo de acero
inoxidable de 4.6 m de cable MOD. 6470 MCA. DAVIS y 2 sensores de humedad de suelo, con 4.6 m
de cable MOD. 6440 MCA. DAVIS 1 software WeatherLink version usb MOD. 6510USB MCA. DAVIS
1 Tripie MOD.7716 Mca. DAVIS 3 Estaciones Climaticas de Bolsillo gris MOD. 4000 MCA.
KESTREL 8 Termohigrómetros de máxima y mínima HYGRO-TERMÓMETRO CON
RELOJ MOD. 445702 MARCA EXTECH</t>
  </si>
  <si>
    <t>00003</t>
  </si>
  <si>
    <t>CENTRIFUGA GERBER</t>
  </si>
  <si>
    <t>00005</t>
  </si>
  <si>
    <t>F 5145</t>
  </si>
  <si>
    <t>MEDIDOR DE PRESION BAROMETRICA, HUMEDAD Y TEMPERATURA,
TARJETA DE MEMORIA SD, 1GB-16GB, PANTALLA 60X50MM LCD,
TIEMPO DE MUESTREO DEL REGISTRADOR DE DATOS
5/10/30/60/120/300/600 SEG O AUTOMATICA, COMPENSACION DE TEMP.
AUTOMATICA, TASA DE ACTUALIZACION DEL INDICADOR APROX. 1
SEG. SALIDA DE DATOS RS-232 INTERFAZ SERIAL, TEMPERATURA
0.00-50.0°C. HUMEDAD: 70 A 90% BAROMETRICA 10.0-1000.0
HPA/1000.1 A 1100.0 HPA/7.5-825.0 MMHG/ 0.29-32.48 MMHG. N/S:
Q769174. EXTECH</t>
  </si>
  <si>
    <t>00006</t>
  </si>
  <si>
    <t>BALANZA ANALITICA CAPACIDAD 220 GR. SENSIBILIDAD 0.1 mg,
DIAMETRO DE CHAROLA 85mm/3.1 in. LINEARIDAD +- 0.2 mg.
INTERFASE RS232. PANTALLA CUARZO LIQUIDO, DIMENSIONES
315X225X330 MM, CALIBRACION INTERNA AUTOMATICA.
VELAB. N/S: 037497. .</t>
  </si>
  <si>
    <t>1254-1-01</t>
  </si>
  <si>
    <t>LICENCIA CONTPAQ MONOUSUARIO PARA WINDOWS</t>
  </si>
  <si>
    <t>1251-06</t>
  </si>
  <si>
    <t>SOFTWARE SPSS</t>
  </si>
  <si>
    <t>1251-05</t>
  </si>
  <si>
    <t>SOFTWARE INVENTOR PROFESIONAL</t>
  </si>
  <si>
    <t>1251-01</t>
  </si>
  <si>
    <t>SOFTWARE SELECCIÓN DE PERSONAL</t>
  </si>
  <si>
    <t>4538B</t>
  </si>
  <si>
    <t>1251-02</t>
  </si>
  <si>
    <t>SOFTWARE SACG</t>
  </si>
  <si>
    <t>1254-1-02</t>
  </si>
  <si>
    <t>SOFTWARE NOMIPAQ MARCA CONPAC ELITE</t>
  </si>
  <si>
    <t>A0639</t>
  </si>
  <si>
    <t>1251-04</t>
  </si>
  <si>
    <t>SOFTWARE DE IMPRESIÓN DE RECIBOS OFICIALES</t>
  </si>
  <si>
    <t>1251-0-5911</t>
  </si>
  <si>
    <t xml:space="preserve"> SOFTWARE SIABUC 9</t>
  </si>
  <si>
    <t>SOFTWARE SISTEMA ESCOLAR</t>
  </si>
  <si>
    <t>SOFTWARE TALEN TEST  3.0 6 PLATAFORMA MICROSOFT 35 HABILIDADES</t>
  </si>
  <si>
    <t>SOFTWARE PAQ. CONTPAQ I NOMINAS PYME 01</t>
  </si>
  <si>
    <t>A-1972</t>
  </si>
  <si>
    <t>SISTEMA DE PRECIOS UNITARIOS UNIVERSITARIA NEODATA 2014</t>
  </si>
  <si>
    <t>00026</t>
  </si>
  <si>
    <t>A1184</t>
  </si>
  <si>
    <t>SOFTWARE SAACG.NET</t>
  </si>
  <si>
    <t>ACT CONTPAQ i NOMINAS PYME 01 A 01 LOTE: 150416-98-0235</t>
  </si>
  <si>
    <t>1251-07</t>
  </si>
  <si>
    <t>7 LICENCIAS DE SOFTWARE ACROBAT</t>
  </si>
  <si>
    <t>1251-08</t>
  </si>
  <si>
    <t xml:space="preserve">5 LICENCIA SOFTWAREMICROSOFT OFFICE PROJECT  </t>
  </si>
  <si>
    <t>1254-1-03</t>
  </si>
  <si>
    <t>PAQUETE DE 15 LICENCIAS FISILAB MARCA ITP SOFTWARE MODELO FISILAP</t>
  </si>
  <si>
    <t>1254-1-04</t>
  </si>
  <si>
    <t>PAQUETE DE 15 LICENCIAS QUIMILAB MARCA ITP SOFTWARE MODELO QUIMILAB</t>
  </si>
  <si>
    <t>1254-1-05</t>
  </si>
  <si>
    <t>PAQUETE SUITE MICROSOFT CON 30 LICENCIAS VISUAL STUDIO PRO 2008</t>
  </si>
  <si>
    <t>1251-03</t>
  </si>
  <si>
    <t>PROGRAMA MATHLAB (15 LICENCIAS)</t>
  </si>
  <si>
    <t>1254-1-06</t>
  </si>
  <si>
    <t xml:space="preserve">47 LICENCIAS MICROSOFT DESKTOP EDUCATION ALL LNG LICSAPK MVL </t>
  </si>
  <si>
    <t>1254-1-07</t>
  </si>
  <si>
    <t xml:space="preserve">47 LICENCIAS VISUAL STUDIO PROFESSIONAL ALL LNG MVL </t>
  </si>
  <si>
    <t>1254-1-08</t>
  </si>
  <si>
    <t xml:space="preserve">47 LICENCIAS PROJECT PROFESSIONAL WIN 32 ALL LNG LICSAPK MVL </t>
  </si>
  <si>
    <t>1254-1-09</t>
  </si>
  <si>
    <t xml:space="preserve">47 LICENCIAS VISIO PREMIUN ALNG LICSAPK MVL </t>
  </si>
  <si>
    <t>7251B</t>
  </si>
  <si>
    <t>1254-1-10</t>
  </si>
  <si>
    <t xml:space="preserve">LICENCIA SACG </t>
  </si>
  <si>
    <t>1254-1-5971</t>
  </si>
  <si>
    <t>LICENCIA ANTIVIRUS KASPERSKI BUSINESS SPACE SECURITY</t>
  </si>
  <si>
    <t>ACTUALIZACION DE LICENCIA MICROSOFT 2012</t>
  </si>
  <si>
    <t>8337B</t>
  </si>
  <si>
    <t>ACTUALIZACION DE LICENCIA SACG</t>
  </si>
  <si>
    <t>LICENCIA ANTIVIRUS KASPERSKI  ENDPOINT SECURITY 2013-2014</t>
  </si>
  <si>
    <t>LICENCIAMIENTO 2013 SOFTWAREONE (61 DESKTPEDU, 61PRJCTPRO, 61 VISIOPRO)</t>
  </si>
  <si>
    <t>UD0501-F023346</t>
  </si>
  <si>
    <t>RENOVACION LICENCIA ANTIVIRUS KASPERSKY ENDPOINT FOR BUSINESS-SELECT 2014-2015</t>
  </si>
  <si>
    <t>LICENCIAMIENTO 2014 (DESKTOP EES w/Enterprise CAL, Visual Studio Professionalo w/MSDN, SQL Server Enterprise Core 2 Lic.)</t>
  </si>
  <si>
    <t>L4228</t>
  </si>
  <si>
    <t>50 LICENCIAS PARA CURSO DE CAPACITACION EN EL IDIOMA INGLES</t>
  </si>
  <si>
    <t>UD0501-F030456</t>
  </si>
  <si>
    <t>180 Pzs RENOVACION LICENCIA ANTIVIRUS KASPERSKY ENDPOINT FOR BUSINESS-SELECT 2015-2016</t>
  </si>
  <si>
    <t>C</t>
  </si>
  <si>
    <t>7630-01-01</t>
  </si>
  <si>
    <t>ARCHIVERO VERTICAL DE 4 GAVETAS TAMAÑO OFICIO</t>
  </si>
  <si>
    <t>7630-01-02</t>
  </si>
  <si>
    <t xml:space="preserve">PIZARRON BLANCO CON SUJETAFOLIO DE 1.20 X 2.40 </t>
  </si>
  <si>
    <t>7630-01-03</t>
  </si>
  <si>
    <t>ANAQUEL TIPO ESQUELETO 915 X 450 X 2210 MM</t>
  </si>
  <si>
    <t>7630-01-05</t>
  </si>
  <si>
    <t>SILLON DE VISITANTE ERGONOMICO EN TELA</t>
  </si>
  <si>
    <t>7630-01-04</t>
  </si>
  <si>
    <t>SILLON EJECUTIVO (TELA) URSE</t>
  </si>
  <si>
    <t>7630-01-06</t>
  </si>
  <si>
    <t>ARCHIVERO HORIZONTAL DE 3 GAVETAS</t>
  </si>
  <si>
    <t>7630-01-14</t>
  </si>
  <si>
    <t>7630-01-12</t>
  </si>
  <si>
    <t>BUTACA P/NIVEL SUPERIOR</t>
  </si>
  <si>
    <t>7630-01-13</t>
  </si>
  <si>
    <t>LIBRERO SUPERIOR PARA ARCHIVERO HORIZONTAL</t>
  </si>
  <si>
    <t>7630-01-11</t>
  </si>
  <si>
    <t>LIBRERO VERTICAL CON 2 PUERTAS COMPLETAS</t>
  </si>
  <si>
    <t>7630-01-09</t>
  </si>
  <si>
    <t>BANCA DE DOS PLASAS Y MESA INTERMEDIA</t>
  </si>
  <si>
    <t>7630-01-10</t>
  </si>
  <si>
    <t>SILLON EJECUTIVO PIEL COLOR NEGRO</t>
  </si>
  <si>
    <t>7630-01-08</t>
  </si>
  <si>
    <t>ESCRITORIO SEMI-EJECUTIVO DERECHO</t>
  </si>
  <si>
    <t>7630-01-07</t>
  </si>
  <si>
    <t>ESCRITORIO SEMI-EJECUTIVO IZQ.</t>
  </si>
  <si>
    <t>7630-01-15</t>
  </si>
  <si>
    <t>SOPORTE DE PARED PARA TELEVISION</t>
  </si>
  <si>
    <t>7630-03-01</t>
  </si>
  <si>
    <t>PANTALLA ELECTRONICA DE PROYECCION CON SOPORTE Y CR</t>
  </si>
  <si>
    <t>7630-03-02</t>
  </si>
  <si>
    <t>EXTINGUIDOR BIOXIDO DE CARBONO</t>
  </si>
  <si>
    <t>7630-04-01</t>
  </si>
  <si>
    <t>CONJUNTO PARA PRACTICAS DE OPTICA</t>
  </si>
  <si>
    <t>7630-04-03</t>
  </si>
  <si>
    <t>CONJUNTO PARA PRACTICAS DE QUIMICA</t>
  </si>
  <si>
    <t>7630-04-02</t>
  </si>
  <si>
    <t>CONJUNTO PARA PRACTICAS DE MECANICA</t>
  </si>
  <si>
    <t>7630-05-01-06</t>
  </si>
  <si>
    <t>ESTUCHE DE DISECCION 13 Pzas</t>
  </si>
  <si>
    <t>7630-05-01-07</t>
  </si>
  <si>
    <t>CRISOL DE PORCELANA 31 MM</t>
  </si>
  <si>
    <t>7630-05-01-08</t>
  </si>
  <si>
    <t>MATRAZ ELERNMEYER 500 ML</t>
  </si>
  <si>
    <t>7630-05-01-09</t>
  </si>
  <si>
    <t>MATRAZ ELERNMEYER 250 ML</t>
  </si>
  <si>
    <t>7630-05-01-10</t>
  </si>
  <si>
    <t>MECHERO  BUNZEN</t>
  </si>
  <si>
    <t>7630-05-01-11</t>
  </si>
  <si>
    <t>TERMOMETRO DE MERCURIO</t>
  </si>
  <si>
    <t>7630-05-01-12</t>
  </si>
  <si>
    <t>GRADILLA PARA 40 TUBOS</t>
  </si>
  <si>
    <t>7630-05-01-01</t>
  </si>
  <si>
    <t>MATRAZ DE DESTILACION 500 ML</t>
  </si>
  <si>
    <t>7630-05-01-02</t>
  </si>
  <si>
    <t>CRISTALIZADOR</t>
  </si>
  <si>
    <t>7630-05-01-03</t>
  </si>
  <si>
    <t xml:space="preserve">ESCOBILLON PARA MATRAZ </t>
  </si>
  <si>
    <t>7630-05-01-04</t>
  </si>
  <si>
    <t>PROBETA GRADUADA 100 ML</t>
  </si>
  <si>
    <t>7630-05-01-05</t>
  </si>
  <si>
    <t>MATRAZ AFORADO 250 ML</t>
  </si>
  <si>
    <t>7630-09-01</t>
  </si>
  <si>
    <t>CRIMPEADORA PARA RED Y TELEFONIA</t>
  </si>
  <si>
    <t>7630-01-16</t>
  </si>
  <si>
    <t>BUTACA NIVEL SUP/IZQUIERDA</t>
  </si>
  <si>
    <t>7630-01-17</t>
  </si>
  <si>
    <t>ESTANTE DOBLE PARA LIBROS NEGRO</t>
  </si>
  <si>
    <t>7630-02-01</t>
  </si>
  <si>
    <t>REPRODUCTOR DE DVD/SONY</t>
  </si>
  <si>
    <t>7630-03-05</t>
  </si>
  <si>
    <t>VIDEOGRABADORA VHS 6 CABEZAS (ALTA DEFINICION)</t>
  </si>
  <si>
    <t>7630-03-04</t>
  </si>
  <si>
    <t>PROYECTOR DE ACETATOS 3000 LUMENES</t>
  </si>
  <si>
    <t>7630-03-03</t>
  </si>
  <si>
    <t>CAMARA DIGITAL SONY  CYBER-SHOT ZOOM 12X</t>
  </si>
  <si>
    <t>7630-01-18</t>
  </si>
  <si>
    <t>SILLA OPERATIVA EN COLOR NAVY BLUE DE SHIMPHONY</t>
  </si>
  <si>
    <t>09715D</t>
  </si>
  <si>
    <t>7630-02-02</t>
  </si>
  <si>
    <t>MICROCOMPUTADORA LANIX 3140, P4 3.2GHZ, MONITOR 17" LCD Y NO BREAK</t>
  </si>
  <si>
    <t>MICROCOMPUTADORA LANIX 3140, P4 3.2GHZ, MONITOR 17" LCD N/BREAK</t>
  </si>
  <si>
    <t>MICROCOMPUTADORA LANIX 3140, PENTIUM 4 3.2GHZ, MONITOR 17" CRT 01</t>
  </si>
  <si>
    <t>MICROCOMPUTADORA LANIX 3140, PENTIUM 4 3.2GHZ, MONITOR 17" CRT 02</t>
  </si>
  <si>
    <t>MICROCOMPUTADORA LANIX 3140, PENTIUM 4 3.2GHZ, MONITOR 17" CRT 03</t>
  </si>
  <si>
    <t>MICROCOMPUTADORA LANIX 3140, PENTIUM 4 3.2GHZ, MONITOR 17" CRT 04</t>
  </si>
  <si>
    <t>MICROCOMPUTADORA LANIX 3140, PENTIUM 4 3.2GHZ, MONITOR 17" CRT 05</t>
  </si>
  <si>
    <t>MICROCOMPUTADORA LANIX 3140, PENTIUM 4 3.2GHZ, MONITOR 17" CRT 06</t>
  </si>
  <si>
    <t>MICROCOMPUTADORA LANIX 3140, PENTIUM 4 3.2GHZ, MONITOR 17" CRT 07</t>
  </si>
  <si>
    <t>MICROCOMPUTADORA LANIX 3140, PENTIUM 4 3.2GHZ, MONITOR 17" CRT 08</t>
  </si>
  <si>
    <t>MICROCOMPUTADORA LANIX 3140, PENTIUM 4 3.2GHZ, MONITOR 17" CRT 09</t>
  </si>
  <si>
    <t>MICROCOMPUTADORA LANIX 3140, PENTIUM 4 3.2GHZ, MONITOR 17" CRT 10</t>
  </si>
  <si>
    <t>MICROCOMPUTADORA LANIX 3140, PENTIUM 4 3.2GHZ, MONITOR 17" CRT 11</t>
  </si>
  <si>
    <t>MICROCOMPUTADORA LANIX 3140, PENTIUM 4 3.2GHZ, MONITOR 17" CRT 12</t>
  </si>
  <si>
    <t>MICROCOMPUTADORA LANIX 3140, PENTIUM 4 3.2GHZ, MONITOR 17" CRT 13</t>
  </si>
  <si>
    <t>MICROCOMPUTADORA LANIX 3140, PENTIUM 4 3.2GHZ, MONITOR 17" CRT 14</t>
  </si>
  <si>
    <t>MICROCOMPUTADORA LANIX 3140, PENTIUM 4 3.2GHZ, MONITOR 17" CRT 15</t>
  </si>
  <si>
    <t>MICROCOMPUTADORA LANIX 3140, PENTIUM 4 3.2GHZ, MONITOR 17" CRT 16</t>
  </si>
  <si>
    <t>MICROCOMPUTADORA LANIX 3140, PENTIUM 4 3.2GHZ, MONITOR 17" CRT 17</t>
  </si>
  <si>
    <t>MICROCOMPUTADORA LANIX 3140, PENTIUM 4 3.2GHZ, MONITOR 17" CRT 18</t>
  </si>
  <si>
    <t>MICROCOMPUTADORA LANIX 3140, PENTIUM 4 3.2GHZ, MONITOR 17" CRT 19</t>
  </si>
  <si>
    <t>MICROCOMPUTADORA LANIX 3140, PENTIUM 4 3.2GHZ, MONITOR 17" CRT 20</t>
  </si>
  <si>
    <t>MICROCOMPUTADORA LANIX 3140, PENTIUM 4 3.2GHZ, MONITOR 17" CRT 21</t>
  </si>
  <si>
    <t>MICROCOMPUTADORA LANIX 3140, PENTIUM 4 3.2GHZ, MONITOR 17" CRT 22</t>
  </si>
  <si>
    <t>MICROCOMPUTADORA LANIX 3140, PENTIUM 4 3.2GHZ, MONITOR 17" CRT 23</t>
  </si>
  <si>
    <t>MICROCOMPUTADORA LANIX 3140, PENTIUM 4 3.2GHZ, MONITOR 17" CRT 24</t>
  </si>
  <si>
    <t>MICROCOMPUTADORA LANIX 3140, PENTIUM 4 3.2GHZ, MONITOR 17" CRT 25</t>
  </si>
  <si>
    <t>MICROCOMPUTADORA LANIX 3140, PENTIUM 4 3.2GHZ, MONITOR 17" CRT 26</t>
  </si>
  <si>
    <t>MICROCOMPUTADORA LANIX 3140, PENTIUM 4 3.2GHZ, MONITOR 17" CRT 27</t>
  </si>
  <si>
    <t>MICROCOMPUTADORA LANIX 3140, PENTIUM 4 3.2GHZ, MONITOR 17" CRT 28</t>
  </si>
  <si>
    <t>MICROCOMPUTADORA LANIX 3140, PENTIUM 4 3.2GHZ, MONITOR 17" CRT 29</t>
  </si>
  <si>
    <t>MICROCOMPUTADORA LANIX 3140, PENTIUM 4 3.2GHZ, MONITOR 17" CRT 30</t>
  </si>
  <si>
    <t>MICROCOMPUTADORA LANIX 3140, PENTIUM 4 3.2GHZ, MONITOR 17" CRT 31</t>
  </si>
  <si>
    <t>MICROCOMPUTADORA LANIX 3140, PENTIUM 4 3.2GHZ, MONITOR 17" CRT 32</t>
  </si>
  <si>
    <t>MICROCOMPUTADORA LANIX 3140, PENTIUM 4 3.2GHZ, MONITOR 17" CRT 33</t>
  </si>
  <si>
    <t>MICROCOMPUTADORA LANIX 3140, PENTIUM 4 3.2GHZ, MONITOR 17" CRT 34</t>
  </si>
  <si>
    <t>MICROCOMPUTADORA LANIX 3140, PENTIUM 4 3.2GHZ, MONITOR 17" CRT 35</t>
  </si>
  <si>
    <t>MICROCOMPUTADORA LANIX 3140, PENTIUM 4 3.2GHZ, MONITOR 17" CRT 36</t>
  </si>
  <si>
    <t>MICROCOMPUTADORA LANIX 3140, PENTIUM 4 3.2GHZ, MONITOR 17" CRT 37</t>
  </si>
  <si>
    <t>MICROCOMPUTADORA LANIX 3140, PENTIUM 4 3.2GHZ, MONITOR 17" CRT 38</t>
  </si>
  <si>
    <t>MICROCOMPUTADORA LANIX 3140, PENTIUM 4 3.2GHZ, MONITOR 17" CRT 39</t>
  </si>
  <si>
    <t>MICROCOMPUTADORA LANIX 3140, PENTIUM 4 3.2GHZ, MONITOR 17" CRT 40</t>
  </si>
  <si>
    <t>MICROCOMPUTADORA LANIX 3140, PENTIUM 4 3.2GHZ, MONITOR 17" CRT 41</t>
  </si>
  <si>
    <t>MICROCOMPUTADORA LANIX 3140, PENTIUM 4 3.2GHZ, MONITOR 17" CRT 42</t>
  </si>
  <si>
    <t>MICROCOMPUTADORA LANIX 3140, PENTIUM 4 3.2GHZ, MONITOR 17" CRT 43</t>
  </si>
  <si>
    <t>MICROCOMPUTADORA LANIX 3140, PENTIUM 4 3.2GHZ, MONITOR 17" CRT 44</t>
  </si>
  <si>
    <t>MICROCOMPUTADORA LANIX 3140, PENTIUM 4 3.2GHZ, MONITOR 17" CRT 45</t>
  </si>
  <si>
    <t>7630-02-03</t>
  </si>
  <si>
    <t>PROYECTOR 2600 ANSI LUEMENES ESTUCHE Y CABLES DE CORRIENTE, USB, TRASMISION, SUPERVIDEO Y CONTROL REMOTO</t>
  </si>
  <si>
    <t>7630-02-05</t>
  </si>
  <si>
    <t>IMPRESORA A COLOR POR INYECCION TERMICA DE TINTA</t>
  </si>
  <si>
    <t>7630-02-06</t>
  </si>
  <si>
    <t>KIT COMPLETO DE CREDENCIALIZACION A COLOR CON CAMARA CANON</t>
  </si>
  <si>
    <t>7630-03-06</t>
  </si>
  <si>
    <t>PANTALLA DE PARED CON TRIPIE 1780 X 1780 MM</t>
  </si>
  <si>
    <t>7630-03-07</t>
  </si>
  <si>
    <t>TELEVISOR A COLOR 29", PANTALLA PLANA</t>
  </si>
  <si>
    <t>7630-02-04</t>
  </si>
  <si>
    <t>CAMARA DE VIDEO DIGITAL</t>
  </si>
  <si>
    <t>7630-03-08</t>
  </si>
  <si>
    <t>GRABADORA DIGITAL PARA REPORTERO</t>
  </si>
  <si>
    <t>7630-01-19</t>
  </si>
  <si>
    <t>7630-02-07</t>
  </si>
  <si>
    <t>IMPRESORA LASER BLANCO Y NEGRO 45 PPM</t>
  </si>
  <si>
    <t>7630-02-08</t>
  </si>
  <si>
    <t>HP ESCANER DE CAMA 01</t>
  </si>
  <si>
    <t>HP ESCANER DE CAMA 02</t>
  </si>
  <si>
    <t>7630-01-20</t>
  </si>
  <si>
    <t>SURTIDOR DE AGUA FRIA / CALIENTE 01</t>
  </si>
  <si>
    <t>SURTIDOR DE AGUA FRIA / CALIENTE 02</t>
  </si>
  <si>
    <t>SURTIDOR DE AGUA FRIA / CALIENTE 03</t>
  </si>
  <si>
    <t>7630-07-01</t>
  </si>
  <si>
    <t>BALANZA GRANATARIA</t>
  </si>
  <si>
    <t>7630-05-01-13</t>
  </si>
  <si>
    <t>TUBO DE ENSAYO DE VIDRIO CON LABIO DE 16 MM</t>
  </si>
  <si>
    <t>7630-10-01</t>
  </si>
  <si>
    <t>CONJUNTO DE ELECTRICIDAD (COND Y SEMICOND)</t>
  </si>
  <si>
    <t>7630-01-22</t>
  </si>
  <si>
    <t>CESTO BASURA LAMINA COLOR NEGRO</t>
  </si>
  <si>
    <t>7630-01-21</t>
  </si>
  <si>
    <t>SILLA DE VISITA SIN CODERA</t>
  </si>
  <si>
    <t>7630-02-09</t>
  </si>
  <si>
    <t>IMPRESORA MATRIZ DE PUNTOS</t>
  </si>
  <si>
    <t>7630-09-02</t>
  </si>
  <si>
    <t>PROBADOR DE RED PARA RJ45 Y RJ11</t>
  </si>
  <si>
    <t>7630-05-01-14</t>
  </si>
  <si>
    <t>APARATO VASO DE PASCAL</t>
  </si>
  <si>
    <t>7630-03-10</t>
  </si>
  <si>
    <t>REFRIGERADOR 5 PIES</t>
  </si>
  <si>
    <t>7630-03-09</t>
  </si>
  <si>
    <t>EQUIPO DE SONIDO LG</t>
  </si>
  <si>
    <t>7630-01-26</t>
  </si>
  <si>
    <t>7630-01-25</t>
  </si>
  <si>
    <t>SILLA PARA VISITANTE Y/O JUNTAS TIPO TRINEO</t>
  </si>
  <si>
    <t>7630-01-23</t>
  </si>
  <si>
    <t>BANCO ALTO DE TRABAJO CON RESPALDO</t>
  </si>
  <si>
    <t>00830-1</t>
  </si>
  <si>
    <t>7030-01-24</t>
  </si>
  <si>
    <t>CONJUNTO DE MUEBLES PARA ITS DE LA HUERTA</t>
  </si>
  <si>
    <t>00830-2</t>
  </si>
  <si>
    <t>00830-3</t>
  </si>
  <si>
    <t>V11135</t>
  </si>
  <si>
    <t>7630-03-11</t>
  </si>
  <si>
    <t>COPIADORA RICOH AF 3030 128MB</t>
  </si>
  <si>
    <t>7630-02-11</t>
  </si>
  <si>
    <t>LAPTOP HP CON MALETIN, CANDADO Y BASE</t>
  </si>
  <si>
    <t>7630-02-10</t>
  </si>
  <si>
    <t>SERVIDOR DUAL CON 2 HD, MONITOR, TECLADO Y MOUSE</t>
  </si>
  <si>
    <t>7630-05-01-15</t>
  </si>
  <si>
    <t>JUEGO DE MICROSCOPIOS (3 M BINOCULAR BA200 Y 3 ESTEREOSCOPICOS)</t>
  </si>
  <si>
    <t>7630-02-12</t>
  </si>
  <si>
    <t>CONMUTADOR TDA 200 PANASONIC</t>
  </si>
  <si>
    <t>7630-09-03</t>
  </si>
  <si>
    <t xml:space="preserve">PROYECTO DE RED PARA ITS DE LA HUERTA </t>
  </si>
  <si>
    <t>7630-03-12</t>
  </si>
  <si>
    <t xml:space="preserve">PANTALLA DE PARED TIPO PERSIANA DE 2.13 X 2.13 </t>
  </si>
  <si>
    <t xml:space="preserve">PANTALLA DE PARED  TIPO PERSIANA DE 2.13 X 2.13 </t>
  </si>
  <si>
    <t>7630-01-31</t>
  </si>
  <si>
    <t>CAJA DE SEGURIDAD ELECTRONICA</t>
  </si>
  <si>
    <t>7630-07-04</t>
  </si>
  <si>
    <t>OLLA PARA ESTERILIZAR</t>
  </si>
  <si>
    <t>MUFLA</t>
  </si>
  <si>
    <t>ESTUFA ESTIRILIZADORA</t>
  </si>
  <si>
    <t>INCUBADORA</t>
  </si>
  <si>
    <t>AGITADOR MAGNETICO</t>
  </si>
  <si>
    <t>POTENCIOMETROS</t>
  </si>
  <si>
    <t>BALANZA ANALITICA</t>
  </si>
  <si>
    <t>CENTRIFUGA CLINICA</t>
  </si>
  <si>
    <t>7630-03-13</t>
  </si>
  <si>
    <t>RELOJ Y CONTROL DE ACCESO BIOMETRICO</t>
  </si>
  <si>
    <t>7630-01-32</t>
  </si>
  <si>
    <t>RESTIRADOR CON CANASTILLA Y CHAROLA ORG. AJUSTABLE</t>
  </si>
  <si>
    <t>EQ.P TALLER DE CONSTRUC.Y DIBUJO                   LAMPARAS CON LUPA REGULABLE</t>
  </si>
  <si>
    <t>EQ.P TALLER DE CONSTRUC.Y DIBUJO (BANCO FIJO C/ASIENTO GIRATORIO C/ELEVADOR</t>
  </si>
  <si>
    <t>EQ.P TALLER DE CONSTRUC.Y DIBUJO (CIZALLA DE RODILLO CORTE PROFESIONAL C/BASTIDOR)</t>
  </si>
  <si>
    <t>EQ.P TALLER DE CONSTRUC.Y DIBUJO (PANEL AUTOADHESIVO CON CUBIERTA DE CORCHOAZUL) 15 PIEZAS</t>
  </si>
  <si>
    <t>EQ.P TALLER DE CONSTRUC.Y DIBUJO (PANEL AUTOADHESIVO CON CUBIERTA DE CORCHO AMARILLO) 15PIEZAS</t>
  </si>
  <si>
    <t>MESA DE TRABAJO C/CUB. EN TABLERO MELAMINICO Y CUB. ACRILICO Y EST. METALICA</t>
  </si>
  <si>
    <t>MESA DE TRABAJO C/CUB. FORRADA EN LAMINADO PLASTICO DE ALTA PRESION Y ESTRUCT. METALICA)</t>
  </si>
  <si>
    <t>7630-08-01</t>
  </si>
  <si>
    <t>GABINETE PARA PLANOS</t>
  </si>
  <si>
    <t>EQUIPAM. DE TALLER DE DISEÑO, MAQ. Y TRAZAB            ( TINA DE LAVADO )</t>
  </si>
  <si>
    <t>EQUIPAM. DE TALLER DE DISEÑO, MAQ. Y TRAZAB            ( REVOLVEDORA )</t>
  </si>
  <si>
    <t>EQUIPAM. DE TALLER DE DISEÑO, MAQ. Y TRAZAB           ( DINAMOMETRO )</t>
  </si>
  <si>
    <t>CONVENIO</t>
  </si>
  <si>
    <t>72</t>
  </si>
  <si>
    <t>7630-06-01</t>
  </si>
  <si>
    <t>00392</t>
  </si>
  <si>
    <t>A019248</t>
  </si>
  <si>
    <t>28/11/2014</t>
  </si>
  <si>
    <t>EQUIP. INGENIERIA EN SISTEMAS COMPUTACIONALES SWICH ADMISTRABLE CISCO CATALYS 2960- X48 GIGE POE740W 4 X 1G SFP LAN BASE</t>
  </si>
  <si>
    <t>00393</t>
  </si>
  <si>
    <t>00394</t>
  </si>
  <si>
    <t>00395</t>
  </si>
  <si>
    <t>EQUIP. INGENIERIA EN SISTEMAS COMPUTACIONALES FLUKE NETWORKS DTX-1800 CABLE ANALYZER</t>
  </si>
  <si>
    <t>00396</t>
  </si>
  <si>
    <t>EQUIP. INGENIERIA EN SISTEMAS COMPUTACIONALES EPSON ROTULADOR LW-400, TRANSFERENCIA TERMICA, 180X180DPI, NEGRO</t>
  </si>
  <si>
    <t>00397</t>
  </si>
  <si>
    <t>00398</t>
  </si>
  <si>
    <t>EQUIP. INGENIERIA EN SISTEMAS COMPUTACIONALES KIT DE HERRAMIENTAS</t>
  </si>
  <si>
    <t>00399</t>
  </si>
  <si>
    <t>00400</t>
  </si>
  <si>
    <t>00401</t>
  </si>
  <si>
    <t>00402</t>
  </si>
  <si>
    <t>00403</t>
  </si>
  <si>
    <t>00404</t>
  </si>
  <si>
    <t>EQUIP. INGENIERIA EN SISTEMAS COMPUTACIONALES KIT DE CAMARA DE VIGILANCIA QUE INCLUYE AVTECH AVC792DKITH600-KIT DVR DE 4 CH FULL 900H/ SALIDA DE VIDEO HDMI / INCLUYE 4 CAMARAS BULLET KPC136ET- HDE 600 TVL IP67/ TVCHD1TBSA- DISCO D</t>
  </si>
  <si>
    <t>00405</t>
  </si>
  <si>
    <t>00406</t>
  </si>
  <si>
    <t>EQUIP. INGENIERIA EN SISTEMAS COMPUTACIONALES HERRAMIENTA PROFECIONAL DE IMPACTO (PONCHADORA) EN EL MANGO CUENTA CON UNA PERILLA PARA AJUSTAR LA INTENCIDAD DEL IMPACTO EN 2 NIVELES ( SUAVE Y FUERTE ), TIENE UN COMPORTAMIENTO PARA ALMACENAR UNA NAVAJA ( NO INCLUIDA)</t>
  </si>
  <si>
    <t>00407</t>
  </si>
  <si>
    <t>00408</t>
  </si>
  <si>
    <t>00409</t>
  </si>
  <si>
    <t>00410</t>
  </si>
  <si>
    <t>00411</t>
  </si>
  <si>
    <t>00412</t>
  </si>
  <si>
    <t>EQUIP. INGENIERIA EN SISTEMAS COMPUTACIONALES BARRA MULTICONTACTO HORIZONTAL PARA RACK BTICINO DE 8 CONTACTOS</t>
  </si>
  <si>
    <t>00413</t>
  </si>
  <si>
    <t>00414</t>
  </si>
  <si>
    <t>00415</t>
  </si>
  <si>
    <t>00416</t>
  </si>
  <si>
    <t>00417</t>
  </si>
  <si>
    <t>00418</t>
  </si>
  <si>
    <t>EQUIP. INGENIERIA EN SISTEMAS COMPUTACIONALES KIT DE FIBRA OPTICA</t>
  </si>
  <si>
    <t>00419</t>
  </si>
  <si>
    <t>00420</t>
  </si>
  <si>
    <t>LEGO MINDSTORM NXT. 2.0 MADE IN USA OR EMPORTED</t>
  </si>
  <si>
    <t>00421</t>
  </si>
  <si>
    <t>00422</t>
  </si>
  <si>
    <t xml:space="preserve"> CISCO3945E / K9 3945 INTEGRATE SERVICES ROUTER- ROUTER- GIGABIT LAN- DESKTOP, RACK MOUNTABLE</t>
  </si>
  <si>
    <t>00423</t>
  </si>
  <si>
    <t>SILLA CON PALETA LATERAL</t>
  </si>
  <si>
    <r>
      <t xml:space="preserve">ESTACION DE TRABAJO 4 TUTORIALES  ( 1. </t>
    </r>
    <r>
      <rPr>
        <u/>
        <sz val="8"/>
        <color theme="1"/>
        <rFont val="Arial"/>
        <family val="2"/>
      </rPr>
      <t>MESA</t>
    </r>
    <r>
      <rPr>
        <sz val="8"/>
        <color theme="1"/>
        <rFont val="Arial"/>
        <family val="2"/>
      </rPr>
      <t xml:space="preserve"> )</t>
    </r>
  </si>
  <si>
    <r>
      <rPr>
        <u/>
        <sz val="8"/>
        <color theme="1"/>
        <rFont val="Arial"/>
        <family val="2"/>
      </rPr>
      <t>GUITARRA</t>
    </r>
    <r>
      <rPr>
        <sz val="8"/>
        <color theme="1"/>
        <rFont val="Arial"/>
        <family val="2"/>
      </rPr>
      <t xml:space="preserve"> PALO ESCRITO PARACHO C/FUNDA</t>
    </r>
  </si>
  <si>
    <r>
      <rPr>
        <u/>
        <sz val="8"/>
        <color theme="1"/>
        <rFont val="Arial"/>
        <family val="2"/>
      </rPr>
      <t>GUITARRA</t>
    </r>
    <r>
      <rPr>
        <sz val="8"/>
        <color theme="1"/>
        <rFont val="Arial"/>
        <family val="2"/>
      </rPr>
      <t xml:space="preserve"> PALO ESCRITO PARACHO C/FUNDA  </t>
    </r>
  </si>
  <si>
    <r>
      <rPr>
        <u/>
        <sz val="8"/>
        <color theme="1"/>
        <rFont val="Arial"/>
        <family val="2"/>
      </rPr>
      <t>GUITARRA</t>
    </r>
    <r>
      <rPr>
        <sz val="8"/>
        <color theme="1"/>
        <rFont val="Arial"/>
        <family val="2"/>
      </rPr>
      <t xml:space="preserve"> PALO ESCRITO FINA PARACHO C/FUNDA</t>
    </r>
  </si>
  <si>
    <r>
      <rPr>
        <u/>
        <sz val="8"/>
        <color theme="1"/>
        <rFont val="Arial"/>
        <family val="2"/>
      </rPr>
      <t>CONTRABAJO</t>
    </r>
    <r>
      <rPr>
        <sz val="8"/>
        <color theme="1"/>
        <rFont val="Arial"/>
        <family val="2"/>
      </rPr>
      <t xml:space="preserve"> PARACHO C/FUNDA </t>
    </r>
  </si>
  <si>
    <r>
      <rPr>
        <u/>
        <sz val="8"/>
        <color theme="1"/>
        <rFont val="Arial"/>
        <family val="2"/>
      </rPr>
      <t>REQUINTO</t>
    </r>
    <r>
      <rPr>
        <sz val="8"/>
        <color theme="1"/>
        <rFont val="Arial"/>
        <family val="2"/>
      </rPr>
      <t xml:space="preserve"> PALO ESCRITO PARACHO C/FUNDA</t>
    </r>
  </si>
  <si>
    <r>
      <t xml:space="preserve">PAQ. EQUIPAM.TALLER DE TOPOG.   Cinta de Acero/Nylon con cruceta </t>
    </r>
    <r>
      <rPr>
        <u/>
        <sz val="8"/>
        <color theme="1"/>
        <rFont val="Arial"/>
        <family val="2"/>
      </rPr>
      <t>50 Mts</t>
    </r>
  </si>
  <si>
    <r>
      <t xml:space="preserve">PAQ. EQUIPAM.TALLER DE TOPOG. </t>
    </r>
    <r>
      <rPr>
        <u/>
        <sz val="8"/>
        <color theme="1"/>
        <rFont val="Arial"/>
        <family val="2"/>
      </rPr>
      <t>PLOMADA  8oz</t>
    </r>
  </si>
  <si>
    <r>
      <t xml:space="preserve">PAQ. EQUIPAM.TALLER DE TOPOG. (Kit de Plomadas) </t>
    </r>
    <r>
      <rPr>
        <u/>
        <sz val="8"/>
        <color theme="1"/>
        <rFont val="Arial"/>
        <family val="2"/>
      </rPr>
      <t>12 oz</t>
    </r>
  </si>
  <si>
    <r>
      <t xml:space="preserve">PAQ. EQUIPAM.TALLER DE TOPOG. (Kit de Plomadas) </t>
    </r>
    <r>
      <rPr>
        <u/>
        <sz val="8"/>
        <color theme="1"/>
        <rFont val="Arial"/>
        <family val="2"/>
      </rPr>
      <t>16 oz</t>
    </r>
  </si>
  <si>
    <r>
      <t xml:space="preserve">PAQ. EQUIPAM.TALLER DE TOPOG. (Kit de Plomadas) </t>
    </r>
    <r>
      <rPr>
        <u/>
        <sz val="8"/>
        <color theme="1"/>
        <rFont val="Arial"/>
        <family val="2"/>
      </rPr>
      <t>24 oz</t>
    </r>
  </si>
  <si>
    <r>
      <t xml:space="preserve">PAQ. EQUIPAM.TALLER DE TOPOG. (Kit de Plomadas) </t>
    </r>
    <r>
      <rPr>
        <u/>
        <sz val="8"/>
        <color theme="1"/>
        <rFont val="Arial"/>
        <family val="2"/>
      </rPr>
      <t>32 oz</t>
    </r>
  </si>
  <si>
    <r>
      <t>PAQ. EQUIPAM.TALLER DE TOPOG. (GPS NAVEGADOR MAP 60CSx GARMIN)</t>
    </r>
    <r>
      <rPr>
        <u/>
        <sz val="8"/>
        <color theme="1"/>
        <rFont val="Arial"/>
        <family val="2"/>
      </rPr>
      <t xml:space="preserve"> Navegador de alta recepción</t>
    </r>
    <r>
      <rPr>
        <sz val="8"/>
        <color theme="1"/>
        <rFont val="Arial"/>
        <family val="2"/>
      </rPr>
      <t>, memoria sd64 mb, mapas, usb, brujula electrónica y sensor barométrico, cable usb, mini sd 64mb, correa, manual y cd.</t>
    </r>
  </si>
  <si>
    <r>
      <t xml:space="preserve">EQUIPAM. DE TALLER DE DISEÑO, MAQ. Y TRAZAB </t>
    </r>
    <r>
      <rPr>
        <u/>
        <sz val="8"/>
        <rFont val="Arial"/>
        <family val="2"/>
      </rPr>
      <t>MOLDE PARA CILINDROS DE CONCRETO</t>
    </r>
  </si>
  <si>
    <r>
      <t xml:space="preserve">EQUIPAM. DE TALLER DE DISEÑO, MAQ. Y TRAZAB </t>
    </r>
    <r>
      <rPr>
        <u/>
        <sz val="8"/>
        <rFont val="Arial"/>
        <family val="2"/>
      </rPr>
      <t>MANÓMETRO DE 120 TON SENSIB 200 KG EN 8" DIAMETRO</t>
    </r>
  </si>
  <si>
    <r>
      <t xml:space="preserve">EQUIPAM. DE TALLER DE DISEÑO, MAQ. Y TRAZAB </t>
    </r>
    <r>
      <rPr>
        <u/>
        <sz val="8"/>
        <rFont val="Arial"/>
        <family val="2"/>
      </rPr>
      <t>(DURÓMETRO)</t>
    </r>
  </si>
  <si>
    <t>Predio Rustico denominado "LA</t>
  </si>
  <si>
    <t>TIRA", ubicado en lo que se</t>
  </si>
  <si>
    <t>denomino la Ex Hacienda de La</t>
  </si>
  <si>
    <t>Huerta Jalisco, en el municipio del</t>
  </si>
  <si>
    <t>mismo nombre, con una superficie</t>
  </si>
  <si>
    <t>aproximada esta fracción de 20-00-00</t>
  </si>
  <si>
    <t>hectáreas.</t>
  </si>
  <si>
    <t>Unidad Académica Departamental</t>
  </si>
  <si>
    <t>tipo III. Siete aulas didácticas, un</t>
  </si>
  <si>
    <t>centro de computo, una biblioteca</t>
  </si>
  <si>
    <t>multifuncional, un laboratorio de</t>
  </si>
  <si>
    <t>mecatronica básica, cubículos de</t>
  </si>
  <si>
    <t>administración, servicios sanitarios,</t>
  </si>
  <si>
    <t>patio cívico, andador de liga, redes</t>
  </si>
  <si>
    <t>hidráulica, eléctrica, sanitaria y gas,</t>
  </si>
  <si>
    <t>cisterna, fosa séptica, pozo de</t>
  </si>
  <si>
    <t>absorción, caseta para tanque de</t>
  </si>
  <si>
    <t>gas, malla ciclón en lindero principal,</t>
  </si>
  <si>
    <t>jardinería, edificio 1,969.92 Mts.,</t>
  </si>
  <si>
    <t>pavimento 595.40 Mtrs.</t>
  </si>
  <si>
    <t>Unidad Multifuncional de Talleres,</t>
  </si>
  <si>
    <t>plazoleta de acceso, andadores de</t>
  </si>
  <si>
    <t>conexión, luminarias punta de poste,</t>
  </si>
  <si>
    <t>redes eléctrica, hidráulica y sanitaria,</t>
  </si>
  <si>
    <t>cisterna, fosas sépticas, pozos de</t>
  </si>
  <si>
    <t>absorción, patio de maniobras, área</t>
  </si>
  <si>
    <t>de estacionamiento anexo, jardinería,</t>
  </si>
  <si>
    <t>edificio 1,685 mtrs., pavimento</t>
  </si>
  <si>
    <t>3,052.39 mtrs.</t>
  </si>
  <si>
    <t>Unidad Multifuncional con espacios</t>
  </si>
  <si>
    <t>de biblioteca, cafetería y auditorio.</t>
  </si>
  <si>
    <t>Cancha de usos múltiples, pavimento</t>
  </si>
  <si>
    <t>618.24 mtrs.</t>
  </si>
  <si>
    <t>ANEXO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</si>
</sst>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0_ ;\-0\ "/>
    <numFmt numFmtId="166" formatCode="#,##0_ ;\-#,##0\ "/>
    <numFmt numFmtId="167" formatCode="_-* #,##0_-;\-* #,##0_-;_-* &quot;-&quot;??_-;_-@_-"/>
    <numFmt numFmtId="168" formatCode="00000"/>
    <numFmt numFmtId="169" formatCode="&quot;$&quot;#,##0.00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b/>
      <sz val="9"/>
      <color theme="1"/>
      <name val="Arial"/>
      <family val="2"/>
    </font>
    <font>
      <i/>
      <sz val="9"/>
      <name val="Arial"/>
      <family val="2"/>
    </font>
    <font>
      <i/>
      <sz val="9"/>
      <color theme="1"/>
      <name val="Arial"/>
      <family val="2"/>
    </font>
    <font>
      <b/>
      <sz val="9"/>
      <color theme="1" tint="0.34998626667073579"/>
      <name val="Arial"/>
      <family val="2"/>
    </font>
    <font>
      <b/>
      <i/>
      <sz val="9"/>
      <color theme="1"/>
      <name val="Arial"/>
      <family val="2"/>
    </font>
    <font>
      <b/>
      <sz val="9"/>
      <color theme="0" tint="-0.499984740745262"/>
      <name val="Arial"/>
      <family val="2"/>
    </font>
    <font>
      <sz val="9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color indexed="8"/>
      <name val="Arial"/>
      <family val="2"/>
    </font>
    <font>
      <sz val="9"/>
      <color rgb="FF000000"/>
      <name val="Arial"/>
      <family val="2"/>
    </font>
    <font>
      <sz val="11"/>
      <color indexed="8"/>
      <name val="Calibri"/>
      <family val="2"/>
    </font>
    <font>
      <b/>
      <sz val="9"/>
      <color indexed="8"/>
      <name val="Arial"/>
      <family val="2"/>
    </font>
    <font>
      <sz val="9"/>
      <color theme="1"/>
      <name val="Calibri"/>
      <family val="2"/>
      <scheme val="minor"/>
    </font>
    <font>
      <b/>
      <sz val="9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Calibri"/>
      <family val="2"/>
    </font>
    <font>
      <sz val="8"/>
      <color theme="1"/>
      <name val="Calibri"/>
      <family val="2"/>
    </font>
    <font>
      <b/>
      <sz val="9"/>
      <color rgb="FF000000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b/>
      <vertAlign val="superscript"/>
      <sz val="9"/>
      <color indexed="8"/>
      <name val="Arial"/>
      <family val="2"/>
    </font>
    <font>
      <b/>
      <sz val="9"/>
      <color indexed="9"/>
      <name val="Arial"/>
      <family val="2"/>
    </font>
    <font>
      <sz val="9"/>
      <name val="Soberana Sans"/>
      <family val="3"/>
    </font>
    <font>
      <b/>
      <sz val="11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sz val="9"/>
      <color theme="1"/>
      <name val="Symbol"/>
      <family val="1"/>
      <charset val="2"/>
    </font>
    <font>
      <sz val="7"/>
      <color theme="1"/>
      <name val="Times New Roman"/>
      <family val="1"/>
    </font>
    <font>
      <b/>
      <sz val="8"/>
      <color indexed="9"/>
      <name val="Arial"/>
      <family val="2"/>
    </font>
    <font>
      <sz val="8"/>
      <color theme="1"/>
      <name val="Calibri"/>
      <family val="2"/>
      <scheme val="minor"/>
    </font>
    <font>
      <u/>
      <sz val="8"/>
      <color theme="1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rgb="FFFFFFFF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C00000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4" fontId="4" fillId="0" borderId="0"/>
    <xf numFmtId="0" fontId="4" fillId="0" borderId="0"/>
    <xf numFmtId="0" fontId="1" fillId="0" borderId="0"/>
    <xf numFmtId="43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</cellStyleXfs>
  <cellXfs count="725">
    <xf numFmtId="0" fontId="0" fillId="0" borderId="0" xfId="0"/>
    <xf numFmtId="0" fontId="2" fillId="0" borderId="0" xfId="0" applyFont="1" applyProtection="1"/>
    <xf numFmtId="0" fontId="2" fillId="2" borderId="0" xfId="0" applyFont="1" applyFill="1" applyProtection="1"/>
    <xf numFmtId="0" fontId="2" fillId="2" borderId="0" xfId="0" applyFont="1" applyFill="1" applyAlignment="1" applyProtection="1">
      <alignment vertical="top"/>
    </xf>
    <xf numFmtId="0" fontId="2" fillId="2" borderId="0" xfId="0" applyFont="1" applyFill="1" applyAlignment="1" applyProtection="1"/>
    <xf numFmtId="0" fontId="2" fillId="2" borderId="0" xfId="0" applyFont="1" applyFill="1" applyAlignment="1" applyProtection="1">
      <alignment horizontal="right" vertical="top"/>
    </xf>
    <xf numFmtId="0" fontId="2" fillId="2" borderId="0" xfId="0" applyFont="1" applyFill="1" applyBorder="1" applyProtection="1"/>
    <xf numFmtId="0" fontId="3" fillId="2" borderId="0" xfId="0" applyFont="1" applyFill="1" applyBorder="1" applyAlignment="1" applyProtection="1"/>
    <xf numFmtId="0" fontId="3" fillId="2" borderId="0" xfId="2" applyNumberFormat="1" applyFont="1" applyFill="1" applyBorder="1" applyAlignment="1" applyProtection="1">
      <alignment vertical="center"/>
    </xf>
    <xf numFmtId="0" fontId="3" fillId="2" borderId="0" xfId="2" applyNumberFormat="1" applyFont="1" applyFill="1" applyBorder="1" applyAlignment="1" applyProtection="1">
      <alignment horizontal="centerContinuous" vertical="center"/>
    </xf>
    <xf numFmtId="0" fontId="3" fillId="2" borderId="0" xfId="0" applyFont="1" applyFill="1" applyBorder="1" applyAlignment="1" applyProtection="1">
      <alignment horizontal="right"/>
    </xf>
    <xf numFmtId="0" fontId="3" fillId="2" borderId="1" xfId="0" applyNumberFormat="1" applyFont="1" applyFill="1" applyBorder="1" applyAlignment="1" applyProtection="1"/>
    <xf numFmtId="0" fontId="3" fillId="2" borderId="0" xfId="2" applyNumberFormat="1" applyFont="1" applyFill="1" applyBorder="1" applyAlignment="1" applyProtection="1">
      <alignment horizontal="right" vertical="top"/>
    </xf>
    <xf numFmtId="0" fontId="3" fillId="2" borderId="5" xfId="2" applyNumberFormat="1" applyFont="1" applyFill="1" applyBorder="1" applyAlignment="1" applyProtection="1">
      <alignment vertical="center"/>
    </xf>
    <xf numFmtId="0" fontId="2" fillId="2" borderId="6" xfId="0" applyFont="1" applyFill="1" applyBorder="1" applyProtection="1"/>
    <xf numFmtId="0" fontId="2" fillId="2" borderId="5" xfId="0" applyFont="1" applyFill="1" applyBorder="1" applyAlignment="1" applyProtection="1">
      <alignment vertical="top"/>
    </xf>
    <xf numFmtId="166" fontId="7" fillId="2" borderId="0" xfId="1" applyNumberFormat="1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horizontal="right" vertical="top"/>
    </xf>
    <xf numFmtId="0" fontId="3" fillId="2" borderId="0" xfId="0" applyFont="1" applyFill="1" applyBorder="1" applyAlignment="1" applyProtection="1">
      <alignment vertical="top"/>
    </xf>
    <xf numFmtId="0" fontId="3" fillId="2" borderId="0" xfId="0" applyFont="1" applyFill="1" applyBorder="1" applyAlignment="1" applyProtection="1">
      <alignment vertical="top" wrapText="1"/>
    </xf>
    <xf numFmtId="3" fontId="7" fillId="2" borderId="0" xfId="0" applyNumberFormat="1" applyFont="1" applyFill="1" applyBorder="1" applyAlignment="1" applyProtection="1">
      <alignment vertical="top"/>
    </xf>
    <xf numFmtId="3" fontId="3" fillId="2" borderId="0" xfId="0" applyNumberFormat="1" applyFont="1" applyFill="1" applyBorder="1" applyAlignment="1" applyProtection="1">
      <alignment vertical="top"/>
    </xf>
    <xf numFmtId="0" fontId="8" fillId="2" borderId="0" xfId="0" applyFont="1" applyFill="1" applyBorder="1" applyAlignment="1" applyProtection="1">
      <alignment vertical="top" wrapText="1"/>
    </xf>
    <xf numFmtId="0" fontId="8" fillId="2" borderId="0" xfId="0" applyFont="1" applyFill="1" applyBorder="1" applyAlignment="1" applyProtection="1">
      <alignment vertical="top"/>
    </xf>
    <xf numFmtId="3" fontId="7" fillId="2" borderId="0" xfId="0" applyNumberFormat="1" applyFont="1" applyFill="1" applyBorder="1" applyAlignment="1" applyProtection="1">
      <alignment vertical="top"/>
      <protection locked="0"/>
    </xf>
    <xf numFmtId="0" fontId="7" fillId="2" borderId="0" xfId="0" applyFont="1" applyFill="1" applyBorder="1" applyAlignment="1" applyProtection="1">
      <alignment vertical="top" wrapText="1"/>
    </xf>
    <xf numFmtId="3" fontId="7" fillId="2" borderId="0" xfId="1" applyNumberFormat="1" applyFont="1" applyFill="1" applyBorder="1" applyAlignment="1" applyProtection="1">
      <alignment vertical="top"/>
    </xf>
    <xf numFmtId="0" fontId="9" fillId="2" borderId="5" xfId="0" applyFont="1" applyFill="1" applyBorder="1" applyAlignment="1" applyProtection="1">
      <alignment vertical="top"/>
    </xf>
    <xf numFmtId="0" fontId="9" fillId="2" borderId="0" xfId="0" applyFont="1" applyFill="1" applyBorder="1" applyAlignment="1" applyProtection="1">
      <alignment horizontal="right" vertical="top"/>
    </xf>
    <xf numFmtId="3" fontId="3" fillId="2" borderId="0" xfId="1" applyNumberFormat="1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vertical="top" wrapText="1"/>
    </xf>
    <xf numFmtId="0" fontId="3" fillId="2" borderId="0" xfId="0" applyFont="1" applyFill="1" applyBorder="1" applyAlignment="1" applyProtection="1">
      <alignment horizontal="left" vertical="top"/>
    </xf>
    <xf numFmtId="0" fontId="5" fillId="2" borderId="0" xfId="0" applyFont="1" applyFill="1" applyBorder="1" applyAlignment="1" applyProtection="1">
      <alignment vertical="center" wrapText="1"/>
    </xf>
    <xf numFmtId="3" fontId="10" fillId="2" borderId="0" xfId="1" applyNumberFormat="1" applyFont="1" applyFill="1" applyBorder="1" applyAlignment="1" applyProtection="1">
      <alignment vertical="top"/>
    </xf>
    <xf numFmtId="0" fontId="2" fillId="2" borderId="7" xfId="0" applyFont="1" applyFill="1" applyBorder="1" applyAlignment="1" applyProtection="1">
      <alignment vertical="top"/>
    </xf>
    <xf numFmtId="0" fontId="2" fillId="2" borderId="1" xfId="0" applyFont="1" applyFill="1" applyBorder="1" applyAlignment="1" applyProtection="1">
      <alignment vertical="top"/>
    </xf>
    <xf numFmtId="0" fontId="2" fillId="2" borderId="1" xfId="0" applyFont="1" applyFill="1" applyBorder="1" applyAlignment="1" applyProtection="1">
      <alignment horizontal="right" vertical="top"/>
    </xf>
    <xf numFmtId="0" fontId="2" fillId="2" borderId="8" xfId="0" applyFont="1" applyFill="1" applyBorder="1" applyProtection="1"/>
    <xf numFmtId="0" fontId="7" fillId="2" borderId="0" xfId="0" applyFont="1" applyFill="1" applyBorder="1" applyProtection="1"/>
    <xf numFmtId="43" fontId="7" fillId="2" borderId="0" xfId="1" applyFont="1" applyFill="1" applyBorder="1" applyProtection="1"/>
    <xf numFmtId="0" fontId="7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wrapText="1"/>
    </xf>
    <xf numFmtId="0" fontId="3" fillId="2" borderId="0" xfId="0" applyFont="1" applyFill="1" applyBorder="1" applyAlignment="1" applyProtection="1">
      <alignment horizontal="right" vertical="top"/>
    </xf>
    <xf numFmtId="0" fontId="7" fillId="2" borderId="0" xfId="0" applyFont="1" applyFill="1" applyBorder="1" applyAlignment="1" applyProtection="1">
      <alignment horizontal="right"/>
    </xf>
    <xf numFmtId="43" fontId="7" fillId="2" borderId="0" xfId="1" applyFont="1" applyFill="1" applyBorder="1" applyAlignment="1" applyProtection="1">
      <alignment vertical="top"/>
    </xf>
    <xf numFmtId="0" fontId="6" fillId="3" borderId="3" xfId="0" applyFont="1" applyFill="1" applyBorder="1" applyAlignment="1" applyProtection="1">
      <alignment horizontal="centerContinuous"/>
    </xf>
    <xf numFmtId="0" fontId="5" fillId="3" borderId="4" xfId="0" applyFont="1" applyFill="1" applyBorder="1" applyProtection="1"/>
    <xf numFmtId="0" fontId="5" fillId="3" borderId="6" xfId="0" applyFont="1" applyFill="1" applyBorder="1" applyProtection="1"/>
    <xf numFmtId="0" fontId="2" fillId="2" borderId="0" xfId="0" applyFont="1" applyFill="1" applyBorder="1"/>
    <xf numFmtId="0" fontId="3" fillId="2" borderId="0" xfId="3" applyFont="1" applyFill="1" applyBorder="1" applyAlignment="1"/>
    <xf numFmtId="0" fontId="9" fillId="2" borderId="0" xfId="0" applyFont="1" applyFill="1" applyBorder="1" applyAlignment="1"/>
    <xf numFmtId="0" fontId="9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2" fillId="2" borderId="0" xfId="0" applyFont="1" applyFill="1" applyBorder="1" applyAlignment="1"/>
    <xf numFmtId="0" fontId="7" fillId="2" borderId="0" xfId="3" applyFont="1" applyFill="1" applyBorder="1" applyAlignment="1">
      <alignment horizontal="center" vertical="center"/>
    </xf>
    <xf numFmtId="0" fontId="7" fillId="2" borderId="0" xfId="3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5" xfId="0" applyFont="1" applyFill="1" applyBorder="1" applyAlignment="1"/>
    <xf numFmtId="0" fontId="3" fillId="2" borderId="0" xfId="3" applyFont="1" applyFill="1" applyBorder="1" applyAlignment="1">
      <alignment vertical="center"/>
    </xf>
    <xf numFmtId="0" fontId="7" fillId="2" borderId="0" xfId="3" applyFont="1" applyFill="1" applyBorder="1" applyAlignment="1"/>
    <xf numFmtId="0" fontId="2" fillId="2" borderId="6" xfId="0" applyFont="1" applyFill="1" applyBorder="1"/>
    <xf numFmtId="0" fontId="3" fillId="2" borderId="5" xfId="0" applyFont="1" applyFill="1" applyBorder="1" applyAlignment="1"/>
    <xf numFmtId="3" fontId="7" fillId="2" borderId="0" xfId="0" applyNumberFormat="1" applyFont="1" applyFill="1" applyBorder="1" applyAlignment="1">
      <alignment vertical="top"/>
    </xf>
    <xf numFmtId="0" fontId="2" fillId="2" borderId="0" xfId="0" applyFont="1" applyFill="1" applyBorder="1" applyAlignment="1">
      <alignment vertical="top"/>
    </xf>
    <xf numFmtId="0" fontId="2" fillId="2" borderId="6" xfId="0" applyFont="1" applyFill="1" applyBorder="1" applyAlignment="1"/>
    <xf numFmtId="0" fontId="3" fillId="2" borderId="5" xfId="0" applyFont="1" applyFill="1" applyBorder="1" applyAlignment="1">
      <alignment horizontal="left" vertical="top"/>
    </xf>
    <xf numFmtId="0" fontId="2" fillId="2" borderId="6" xfId="0" applyFont="1" applyFill="1" applyBorder="1" applyAlignment="1">
      <alignment vertical="top"/>
    </xf>
    <xf numFmtId="0" fontId="7" fillId="2" borderId="5" xfId="0" applyFont="1" applyFill="1" applyBorder="1" applyAlignment="1">
      <alignment horizontal="left" vertical="top"/>
    </xf>
    <xf numFmtId="3" fontId="7" fillId="2" borderId="0" xfId="1" applyNumberFormat="1" applyFont="1" applyFill="1" applyBorder="1" applyAlignment="1" applyProtection="1">
      <alignment vertical="top"/>
      <protection locked="0"/>
    </xf>
    <xf numFmtId="0" fontId="7" fillId="2" borderId="0" xfId="0" applyFont="1" applyFill="1" applyBorder="1" applyAlignment="1">
      <alignment vertical="top"/>
    </xf>
    <xf numFmtId="3" fontId="10" fillId="2" borderId="0" xfId="0" applyNumberFormat="1" applyFont="1" applyFill="1" applyBorder="1" applyAlignment="1">
      <alignment vertical="top"/>
    </xf>
    <xf numFmtId="0" fontId="8" fillId="2" borderId="0" xfId="0" applyFont="1" applyFill="1" applyBorder="1" applyAlignment="1">
      <alignment vertical="top"/>
    </xf>
    <xf numFmtId="0" fontId="8" fillId="2" borderId="5" xfId="0" applyFont="1" applyFill="1" applyBorder="1" applyAlignment="1">
      <alignment horizontal="left" vertical="top"/>
    </xf>
    <xf numFmtId="3" fontId="8" fillId="2" borderId="0" xfId="0" applyNumberFormat="1" applyFont="1" applyFill="1" applyBorder="1" applyAlignment="1" applyProtection="1">
      <alignment vertical="top"/>
    </xf>
    <xf numFmtId="0" fontId="11" fillId="2" borderId="0" xfId="0" applyFont="1" applyFill="1" applyBorder="1" applyAlignment="1">
      <alignment vertical="top"/>
    </xf>
    <xf numFmtId="0" fontId="2" fillId="2" borderId="5" xfId="0" applyFont="1" applyFill="1" applyBorder="1"/>
    <xf numFmtId="3" fontId="8" fillId="2" borderId="0" xfId="1" applyNumberFormat="1" applyFont="1" applyFill="1" applyBorder="1" applyAlignment="1" applyProtection="1">
      <alignment vertical="top"/>
    </xf>
    <xf numFmtId="0" fontId="11" fillId="2" borderId="6" xfId="0" applyFont="1" applyFill="1" applyBorder="1" applyAlignment="1">
      <alignment vertical="top"/>
    </xf>
    <xf numFmtId="0" fontId="2" fillId="2" borderId="7" xfId="0" applyFont="1" applyFill="1" applyBorder="1"/>
    <xf numFmtId="0" fontId="2" fillId="2" borderId="1" xfId="0" applyFont="1" applyFill="1" applyBorder="1"/>
    <xf numFmtId="0" fontId="2" fillId="2" borderId="1" xfId="0" applyFont="1" applyFill="1" applyBorder="1" applyAlignment="1"/>
    <xf numFmtId="0" fontId="2" fillId="2" borderId="8" xfId="0" applyFont="1" applyFill="1" applyBorder="1"/>
    <xf numFmtId="0" fontId="7" fillId="2" borderId="1" xfId="0" applyFont="1" applyFill="1" applyBorder="1" applyAlignment="1">
      <alignment vertical="top"/>
    </xf>
    <xf numFmtId="0" fontId="7" fillId="2" borderId="1" xfId="0" applyFont="1" applyFill="1" applyBorder="1"/>
    <xf numFmtId="43" fontId="7" fillId="2" borderId="1" xfId="1" applyFont="1" applyFill="1" applyBorder="1"/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/>
    <xf numFmtId="0" fontId="7" fillId="2" borderId="0" xfId="0" applyFont="1" applyFill="1" applyBorder="1"/>
    <xf numFmtId="43" fontId="7" fillId="2" borderId="0" xfId="1" applyFont="1" applyFill="1" applyBorder="1"/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0" fontId="3" fillId="2" borderId="0" xfId="0" applyFont="1" applyFill="1" applyBorder="1" applyAlignment="1">
      <alignment horizontal="right" vertical="top"/>
    </xf>
    <xf numFmtId="0" fontId="3" fillId="2" borderId="0" xfId="0" applyFont="1" applyFill="1" applyBorder="1" applyAlignment="1">
      <alignment vertical="top"/>
    </xf>
    <xf numFmtId="0" fontId="7" fillId="2" borderId="0" xfId="0" applyFont="1" applyFill="1" applyBorder="1" applyAlignment="1">
      <alignment horizontal="right"/>
    </xf>
    <xf numFmtId="43" fontId="7" fillId="2" borderId="0" xfId="1" applyFont="1" applyFill="1" applyBorder="1" applyAlignment="1">
      <alignment vertical="top"/>
    </xf>
    <xf numFmtId="0" fontId="7" fillId="2" borderId="0" xfId="0" applyFont="1" applyFill="1" applyBorder="1" applyAlignment="1" applyProtection="1">
      <alignment vertical="top" wrapText="1"/>
      <protection locked="0"/>
    </xf>
    <xf numFmtId="0" fontId="5" fillId="3" borderId="9" xfId="0" applyFont="1" applyFill="1" applyBorder="1" applyAlignment="1">
      <alignment horizontal="center" vertical="center"/>
    </xf>
    <xf numFmtId="165" fontId="6" fillId="3" borderId="10" xfId="1" applyNumberFormat="1" applyFont="1" applyFill="1" applyBorder="1" applyAlignment="1">
      <alignment horizontal="center" vertical="center"/>
    </xf>
    <xf numFmtId="0" fontId="6" fillId="3" borderId="11" xfId="3" applyFont="1" applyFill="1" applyBorder="1" applyAlignment="1">
      <alignment horizontal="center" vertical="center"/>
    </xf>
    <xf numFmtId="0" fontId="3" fillId="2" borderId="0" xfId="0" applyFont="1" applyFill="1" applyBorder="1" applyAlignment="1"/>
    <xf numFmtId="0" fontId="3" fillId="2" borderId="0" xfId="2" applyNumberFormat="1" applyFont="1" applyFill="1" applyBorder="1" applyAlignment="1">
      <alignment horizontal="centerContinuous" vertical="center"/>
    </xf>
    <xf numFmtId="0" fontId="7" fillId="2" borderId="1" xfId="0" applyNumberFormat="1" applyFont="1" applyFill="1" applyBorder="1" applyAlignment="1" applyProtection="1"/>
    <xf numFmtId="0" fontId="3" fillId="2" borderId="5" xfId="2" applyNumberFormat="1" applyFont="1" applyFill="1" applyBorder="1" applyAlignment="1">
      <alignment horizontal="centerContinuous" vertical="center"/>
    </xf>
    <xf numFmtId="0" fontId="3" fillId="2" borderId="6" xfId="2" applyNumberFormat="1" applyFont="1" applyFill="1" applyBorder="1" applyAlignment="1">
      <alignment horizontal="centerContinuous" vertical="center"/>
    </xf>
    <xf numFmtId="0" fontId="2" fillId="2" borderId="5" xfId="0" applyFont="1" applyFill="1" applyBorder="1" applyAlignment="1">
      <alignment vertical="top"/>
    </xf>
    <xf numFmtId="0" fontId="12" fillId="2" borderId="0" xfId="0" applyFont="1" applyFill="1" applyBorder="1" applyAlignment="1">
      <alignment horizontal="left" vertical="top"/>
    </xf>
    <xf numFmtId="166" fontId="7" fillId="2" borderId="0" xfId="1" applyNumberFormat="1" applyFont="1" applyFill="1" applyBorder="1" applyAlignment="1">
      <alignment vertical="top"/>
    </xf>
    <xf numFmtId="0" fontId="3" fillId="2" borderId="6" xfId="0" applyFont="1" applyFill="1" applyBorder="1" applyAlignment="1">
      <alignment vertical="top" wrapText="1"/>
    </xf>
    <xf numFmtId="0" fontId="9" fillId="2" borderId="5" xfId="0" applyFont="1" applyFill="1" applyBorder="1" applyAlignment="1">
      <alignment vertical="top"/>
    </xf>
    <xf numFmtId="3" fontId="9" fillId="2" borderId="0" xfId="0" applyNumberFormat="1" applyFont="1" applyFill="1" applyBorder="1" applyAlignment="1" applyProtection="1">
      <alignment horizontal="right" vertical="top"/>
      <protection locked="0"/>
    </xf>
    <xf numFmtId="3" fontId="9" fillId="2" borderId="0" xfId="0" applyNumberFormat="1" applyFont="1" applyFill="1" applyBorder="1" applyAlignment="1" applyProtection="1">
      <alignment horizontal="right" vertical="top"/>
    </xf>
    <xf numFmtId="3" fontId="2" fillId="2" borderId="0" xfId="0" applyNumberFormat="1" applyFont="1" applyFill="1" applyBorder="1" applyAlignment="1">
      <alignment horizontal="right" vertical="top"/>
    </xf>
    <xf numFmtId="3" fontId="9" fillId="2" borderId="0" xfId="0" applyNumberFormat="1" applyFont="1" applyFill="1" applyBorder="1" applyAlignment="1">
      <alignment horizontal="right" vertical="top"/>
    </xf>
    <xf numFmtId="3" fontId="2" fillId="2" borderId="0" xfId="0" applyNumberFormat="1" applyFont="1" applyFill="1" applyBorder="1" applyAlignment="1" applyProtection="1">
      <alignment horizontal="right" vertical="top"/>
      <protection locked="0"/>
    </xf>
    <xf numFmtId="3" fontId="9" fillId="2" borderId="12" xfId="0" applyNumberFormat="1" applyFont="1" applyFill="1" applyBorder="1" applyAlignment="1">
      <alignment horizontal="right" vertical="top"/>
    </xf>
    <xf numFmtId="0" fontId="9" fillId="2" borderId="7" xfId="0" applyFont="1" applyFill="1" applyBorder="1" applyAlignment="1">
      <alignment vertical="top"/>
    </xf>
    <xf numFmtId="3" fontId="9" fillId="2" borderId="1" xfId="0" applyNumberFormat="1" applyFont="1" applyFill="1" applyBorder="1" applyAlignment="1">
      <alignment horizontal="right" vertical="top"/>
    </xf>
    <xf numFmtId="0" fontId="3" fillId="2" borderId="8" xfId="0" applyFont="1" applyFill="1" applyBorder="1" applyAlignment="1">
      <alignment vertical="top" wrapText="1"/>
    </xf>
    <xf numFmtId="0" fontId="2" fillId="2" borderId="10" xfId="0" applyFont="1" applyFill="1" applyBorder="1" applyAlignment="1">
      <alignment vertical="top"/>
    </xf>
    <xf numFmtId="0" fontId="3" fillId="2" borderId="10" xfId="0" applyFont="1" applyFill="1" applyBorder="1" applyAlignment="1">
      <alignment vertical="top" wrapText="1"/>
    </xf>
    <xf numFmtId="0" fontId="7" fillId="2" borderId="0" xfId="0" applyFont="1" applyFill="1" applyAlignment="1">
      <alignment wrapText="1"/>
    </xf>
    <xf numFmtId="165" fontId="6" fillId="3" borderId="9" xfId="1" applyNumberFormat="1" applyFont="1" applyFill="1" applyBorder="1" applyAlignment="1">
      <alignment horizontal="center" vertical="center" wrapText="1"/>
    </xf>
    <xf numFmtId="165" fontId="6" fillId="3" borderId="10" xfId="1" applyNumberFormat="1" applyFont="1" applyFill="1" applyBorder="1" applyAlignment="1">
      <alignment horizontal="center" vertical="center" wrapText="1"/>
    </xf>
    <xf numFmtId="165" fontId="6" fillId="3" borderId="11" xfId="1" applyNumberFormat="1" applyFont="1" applyFill="1" applyBorder="1" applyAlignment="1">
      <alignment horizontal="center" vertical="center" wrapText="1"/>
    </xf>
    <xf numFmtId="0" fontId="2" fillId="2" borderId="0" xfId="0" applyFont="1" applyFill="1"/>
    <xf numFmtId="0" fontId="3" fillId="2" borderId="0" xfId="3" applyFont="1" applyFill="1" applyBorder="1" applyAlignment="1">
      <alignment horizontal="centerContinuous"/>
    </xf>
    <xf numFmtId="0" fontId="2" fillId="2" borderId="0" xfId="0" applyFont="1" applyFill="1" applyBorder="1" applyAlignment="1">
      <alignment horizontal="centerContinuous"/>
    </xf>
    <xf numFmtId="0" fontId="7" fillId="2" borderId="1" xfId="0" applyNumberFormat="1" applyFont="1" applyFill="1" applyBorder="1" applyAlignment="1" applyProtection="1">
      <protection locked="0"/>
    </xf>
    <xf numFmtId="0" fontId="3" fillId="2" borderId="0" xfId="3" applyFont="1" applyFill="1" applyBorder="1" applyAlignment="1">
      <alignment horizontal="center" vertical="top"/>
    </xf>
    <xf numFmtId="0" fontId="7" fillId="2" borderId="0" xfId="3" applyFont="1" applyFill="1" applyBorder="1" applyAlignment="1">
      <alignment horizontal="centerContinuous" vertical="center"/>
    </xf>
    <xf numFmtId="0" fontId="7" fillId="2" borderId="0" xfId="3" applyFont="1" applyFill="1" applyBorder="1" applyAlignment="1">
      <alignment horizontal="center" vertical="top"/>
    </xf>
    <xf numFmtId="0" fontId="5" fillId="2" borderId="0" xfId="0" applyFont="1" applyFill="1" applyBorder="1" applyAlignment="1">
      <alignment vertical="center"/>
    </xf>
    <xf numFmtId="0" fontId="7" fillId="2" borderId="0" xfId="3" applyFont="1" applyFill="1" applyBorder="1" applyAlignment="1">
      <alignment vertical="top"/>
    </xf>
    <xf numFmtId="0" fontId="3" fillId="2" borderId="0" xfId="3" applyFont="1" applyFill="1" applyBorder="1" applyAlignment="1">
      <alignment vertical="top"/>
    </xf>
    <xf numFmtId="3" fontId="7" fillId="2" borderId="0" xfId="3" applyNumberFormat="1" applyFont="1" applyFill="1" applyBorder="1" applyAlignment="1">
      <alignment vertical="top"/>
    </xf>
    <xf numFmtId="3" fontId="3" fillId="2" borderId="0" xfId="3" applyNumberFormat="1" applyFont="1" applyFill="1" applyBorder="1" applyAlignment="1">
      <alignment vertical="top"/>
    </xf>
    <xf numFmtId="3" fontId="7" fillId="2" borderId="0" xfId="3" applyNumberFormat="1" applyFont="1" applyFill="1" applyBorder="1" applyAlignment="1" applyProtection="1">
      <alignment vertical="top"/>
      <protection locked="0"/>
    </xf>
    <xf numFmtId="0" fontId="2" fillId="2" borderId="0" xfId="0" applyFont="1" applyFill="1" applyBorder="1" applyAlignment="1">
      <alignment horizontal="left" vertical="top"/>
    </xf>
    <xf numFmtId="0" fontId="2" fillId="2" borderId="0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3" fontId="3" fillId="2" borderId="0" xfId="3" applyNumberFormat="1" applyFont="1" applyFill="1" applyBorder="1" applyAlignment="1">
      <alignment horizontal="right" vertical="top" wrapText="1"/>
    </xf>
    <xf numFmtId="0" fontId="2" fillId="2" borderId="6" xfId="0" applyFont="1" applyFill="1" applyBorder="1" applyAlignment="1">
      <alignment horizontal="left" wrapText="1"/>
    </xf>
    <xf numFmtId="0" fontId="2" fillId="2" borderId="0" xfId="0" applyFont="1" applyFill="1" applyAlignment="1">
      <alignment horizontal="left" wrapText="1"/>
    </xf>
    <xf numFmtId="3" fontId="3" fillId="2" borderId="0" xfId="3" applyNumberFormat="1" applyFont="1" applyFill="1" applyBorder="1" applyAlignment="1" applyProtection="1">
      <alignment horizontal="right" vertical="top" wrapText="1"/>
      <protection locked="0"/>
    </xf>
    <xf numFmtId="3" fontId="3" fillId="2" borderId="0" xfId="3" applyNumberFormat="1" applyFont="1" applyFill="1" applyBorder="1" applyAlignment="1" applyProtection="1">
      <alignment horizontal="right" vertical="top" wrapText="1"/>
    </xf>
    <xf numFmtId="0" fontId="2" fillId="2" borderId="7" xfId="0" applyFont="1" applyFill="1" applyBorder="1" applyAlignment="1">
      <alignment vertical="top"/>
    </xf>
    <xf numFmtId="0" fontId="3" fillId="2" borderId="1" xfId="3" applyFont="1" applyFill="1" applyBorder="1" applyAlignment="1">
      <alignment vertical="top"/>
    </xf>
    <xf numFmtId="3" fontId="7" fillId="2" borderId="1" xfId="3" applyNumberFormat="1" applyFont="1" applyFill="1" applyBorder="1" applyAlignment="1">
      <alignment vertical="top"/>
    </xf>
    <xf numFmtId="0" fontId="2" fillId="2" borderId="1" xfId="0" applyFont="1" applyFill="1" applyBorder="1" applyAlignment="1">
      <alignment vertical="top"/>
    </xf>
    <xf numFmtId="0" fontId="5" fillId="3" borderId="10" xfId="0" applyFont="1" applyFill="1" applyBorder="1" applyAlignment="1">
      <alignment vertical="center"/>
    </xf>
    <xf numFmtId="0" fontId="5" fillId="3" borderId="11" xfId="0" applyFont="1" applyFill="1" applyBorder="1"/>
    <xf numFmtId="0" fontId="2" fillId="2" borderId="0" xfId="0" applyFont="1" applyFill="1" applyBorder="1" applyAlignment="1">
      <alignment horizontal="right"/>
    </xf>
    <xf numFmtId="0" fontId="7" fillId="2" borderId="0" xfId="0" applyNumberFormat="1" applyFont="1" applyFill="1" applyBorder="1" applyAlignment="1" applyProtection="1">
      <alignment horizontal="left"/>
    </xf>
    <xf numFmtId="0" fontId="6" fillId="2" borderId="0" xfId="0" applyFont="1" applyFill="1" applyBorder="1"/>
    <xf numFmtId="3" fontId="9" fillId="2" borderId="0" xfId="0" applyNumberFormat="1" applyFont="1" applyFill="1" applyBorder="1" applyAlignment="1">
      <alignment vertical="top"/>
    </xf>
    <xf numFmtId="0" fontId="9" fillId="2" borderId="6" xfId="0" applyFont="1" applyFill="1" applyBorder="1" applyAlignment="1">
      <alignment vertical="top"/>
    </xf>
    <xf numFmtId="0" fontId="9" fillId="2" borderId="0" xfId="0" applyFont="1" applyFill="1" applyBorder="1" applyAlignment="1">
      <alignment vertical="top"/>
    </xf>
    <xf numFmtId="0" fontId="13" fillId="2" borderId="5" xfId="0" applyFont="1" applyFill="1" applyBorder="1" applyAlignment="1">
      <alignment vertical="top"/>
    </xf>
    <xf numFmtId="3" fontId="9" fillId="2" borderId="0" xfId="1" applyNumberFormat="1" applyFont="1" applyFill="1" applyBorder="1" applyAlignment="1">
      <alignment vertical="top"/>
    </xf>
    <xf numFmtId="0" fontId="13" fillId="2" borderId="6" xfId="0" applyFont="1" applyFill="1" applyBorder="1" applyAlignment="1">
      <alignment vertical="top"/>
    </xf>
    <xf numFmtId="3" fontId="2" fillId="2" borderId="0" xfId="0" applyNumberFormat="1" applyFont="1" applyFill="1" applyBorder="1" applyAlignment="1">
      <alignment vertical="top"/>
    </xf>
    <xf numFmtId="3" fontId="7" fillId="2" borderId="0" xfId="1" applyNumberFormat="1" applyFont="1" applyFill="1" applyBorder="1" applyAlignment="1">
      <alignment vertical="top"/>
    </xf>
    <xf numFmtId="3" fontId="2" fillId="2" borderId="0" xfId="1" applyNumberFormat="1" applyFont="1" applyFill="1" applyBorder="1" applyAlignment="1">
      <alignment vertical="top"/>
    </xf>
    <xf numFmtId="0" fontId="2" fillId="2" borderId="0" xfId="0" applyFont="1" applyFill="1" applyAlignme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vertical="center"/>
    </xf>
    <xf numFmtId="0" fontId="7" fillId="2" borderId="0" xfId="0" applyFont="1" applyFill="1" applyBorder="1" applyAlignment="1">
      <alignment vertical="top" wrapText="1"/>
    </xf>
    <xf numFmtId="0" fontId="6" fillId="3" borderId="2" xfId="3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3" xfId="3" applyFont="1" applyFill="1" applyBorder="1" applyAlignment="1">
      <alignment horizontal="center" vertical="center" wrapText="1"/>
    </xf>
    <xf numFmtId="0" fontId="6" fillId="3" borderId="4" xfId="3" applyFont="1" applyFill="1" applyBorder="1" applyAlignment="1">
      <alignment horizontal="center" vertical="center" wrapText="1"/>
    </xf>
    <xf numFmtId="0" fontId="6" fillId="3" borderId="7" xfId="3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3" applyFont="1" applyFill="1" applyBorder="1" applyAlignment="1">
      <alignment horizontal="center" vertical="center" wrapText="1"/>
    </xf>
    <xf numFmtId="0" fontId="6" fillId="3" borderId="8" xfId="3" applyFont="1" applyFill="1" applyBorder="1" applyAlignment="1">
      <alignment horizontal="center" vertical="center" wrapText="1"/>
    </xf>
    <xf numFmtId="0" fontId="3" fillId="2" borderId="0" xfId="3" applyFont="1" applyFill="1" applyBorder="1" applyAlignment="1" applyProtection="1"/>
    <xf numFmtId="0" fontId="3" fillId="2" borderId="0" xfId="0" applyFont="1" applyFill="1" applyBorder="1" applyAlignment="1" applyProtection="1">
      <alignment horizontal="centerContinuous"/>
    </xf>
    <xf numFmtId="164" fontId="7" fillId="2" borderId="0" xfId="2" applyFont="1" applyFill="1" applyBorder="1" applyProtection="1"/>
    <xf numFmtId="0" fontId="3" fillId="2" borderId="5" xfId="2" applyNumberFormat="1" applyFont="1" applyFill="1" applyBorder="1" applyAlignment="1" applyProtection="1">
      <alignment horizontal="centerContinuous" vertical="center"/>
    </xf>
    <xf numFmtId="0" fontId="3" fillId="2" borderId="0" xfId="2" applyNumberFormat="1" applyFont="1" applyFill="1" applyBorder="1" applyAlignment="1" applyProtection="1">
      <alignment vertical="top"/>
    </xf>
    <xf numFmtId="0" fontId="3" fillId="2" borderId="6" xfId="2" applyNumberFormat="1" applyFont="1" applyFill="1" applyBorder="1" applyAlignment="1" applyProtection="1">
      <alignment vertical="top"/>
    </xf>
    <xf numFmtId="0" fontId="9" fillId="2" borderId="5" xfId="0" applyFont="1" applyFill="1" applyBorder="1" applyAlignment="1" applyProtection="1"/>
    <xf numFmtId="0" fontId="3" fillId="2" borderId="6" xfId="0" applyFont="1" applyFill="1" applyBorder="1" applyAlignment="1" applyProtection="1">
      <alignment vertical="top"/>
    </xf>
    <xf numFmtId="3" fontId="3" fillId="2" borderId="0" xfId="0" applyNumberFormat="1" applyFont="1" applyFill="1" applyBorder="1" applyAlignment="1" applyProtection="1">
      <alignment horizontal="center" vertical="top"/>
      <protection locked="0"/>
    </xf>
    <xf numFmtId="3" fontId="3" fillId="2" borderId="0" xfId="0" applyNumberFormat="1" applyFont="1" applyFill="1" applyBorder="1" applyAlignment="1" applyProtection="1">
      <alignment horizontal="right" vertical="top"/>
    </xf>
    <xf numFmtId="0" fontId="9" fillId="2" borderId="6" xfId="0" applyFont="1" applyFill="1" applyBorder="1" applyAlignment="1" applyProtection="1">
      <alignment vertical="top"/>
    </xf>
    <xf numFmtId="0" fontId="2" fillId="2" borderId="5" xfId="0" applyFont="1" applyFill="1" applyBorder="1" applyAlignment="1" applyProtection="1"/>
    <xf numFmtId="0" fontId="14" fillId="2" borderId="0" xfId="0" applyFont="1" applyFill="1" applyBorder="1" applyAlignment="1" applyProtection="1">
      <alignment vertical="top"/>
    </xf>
    <xf numFmtId="3" fontId="7" fillId="2" borderId="0" xfId="0" applyNumberFormat="1" applyFont="1" applyFill="1" applyBorder="1" applyAlignment="1" applyProtection="1">
      <alignment horizontal="center" vertical="top"/>
      <protection locked="0"/>
    </xf>
    <xf numFmtId="3" fontId="7" fillId="2" borderId="0" xfId="0" applyNumberFormat="1" applyFont="1" applyFill="1" applyBorder="1" applyAlignment="1" applyProtection="1">
      <alignment horizontal="right" vertical="top"/>
      <protection locked="0"/>
    </xf>
    <xf numFmtId="0" fontId="2" fillId="2" borderId="6" xfId="0" applyFont="1" applyFill="1" applyBorder="1" applyAlignment="1" applyProtection="1">
      <alignment vertical="top"/>
    </xf>
    <xf numFmtId="0" fontId="3" fillId="2" borderId="0" xfId="0" applyFont="1" applyFill="1" applyBorder="1" applyAlignment="1" applyProtection="1">
      <alignment horizontal="center" vertical="top"/>
      <protection locked="0"/>
    </xf>
    <xf numFmtId="0" fontId="3" fillId="2" borderId="0" xfId="0" applyFont="1" applyFill="1" applyBorder="1" applyAlignment="1" applyProtection="1">
      <alignment horizontal="right" vertical="top"/>
      <protection locked="0"/>
    </xf>
    <xf numFmtId="0" fontId="2" fillId="2" borderId="0" xfId="0" applyFont="1" applyFill="1" applyBorder="1" applyAlignment="1" applyProtection="1">
      <alignment vertical="top"/>
    </xf>
    <xf numFmtId="0" fontId="7" fillId="2" borderId="0" xfId="0" applyNumberFormat="1" applyFont="1" applyFill="1" applyBorder="1" applyAlignment="1" applyProtection="1">
      <alignment horizontal="right" vertical="top"/>
      <protection locked="0"/>
    </xf>
    <xf numFmtId="0" fontId="3" fillId="2" borderId="0" xfId="0" applyFont="1" applyFill="1" applyBorder="1" applyAlignment="1" applyProtection="1">
      <alignment horizontal="center" vertical="top"/>
    </xf>
    <xf numFmtId="0" fontId="13" fillId="2" borderId="5" xfId="0" applyFont="1" applyFill="1" applyBorder="1" applyAlignment="1" applyProtection="1"/>
    <xf numFmtId="3" fontId="8" fillId="2" borderId="0" xfId="0" applyNumberFormat="1" applyFont="1" applyFill="1" applyBorder="1" applyAlignment="1" applyProtection="1">
      <alignment horizontal="center" vertical="top"/>
      <protection locked="0"/>
    </xf>
    <xf numFmtId="3" fontId="8" fillId="2" borderId="0" xfId="0" applyNumberFormat="1" applyFont="1" applyFill="1" applyBorder="1" applyAlignment="1" applyProtection="1">
      <alignment horizontal="right" vertical="top"/>
    </xf>
    <xf numFmtId="0" fontId="13" fillId="2" borderId="6" xfId="0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horizontal="center" vertical="top"/>
      <protection locked="0"/>
    </xf>
    <xf numFmtId="3" fontId="8" fillId="2" borderId="0" xfId="0" applyNumberFormat="1" applyFont="1" applyFill="1" applyBorder="1" applyAlignment="1" applyProtection="1">
      <alignment horizontal="center" vertical="top"/>
    </xf>
    <xf numFmtId="3" fontId="3" fillId="2" borderId="0" xfId="0" applyNumberFormat="1" applyFont="1" applyFill="1" applyBorder="1" applyAlignment="1" applyProtection="1">
      <alignment horizontal="right" vertical="top"/>
      <protection locked="0"/>
    </xf>
    <xf numFmtId="0" fontId="13" fillId="2" borderId="7" xfId="0" applyFont="1" applyFill="1" applyBorder="1" applyAlignment="1" applyProtection="1"/>
    <xf numFmtId="0" fontId="8" fillId="2" borderId="1" xfId="0" applyFont="1" applyFill="1" applyBorder="1" applyAlignment="1" applyProtection="1">
      <alignment vertical="top"/>
    </xf>
    <xf numFmtId="3" fontId="8" fillId="2" borderId="1" xfId="0" applyNumberFormat="1" applyFont="1" applyFill="1" applyBorder="1" applyAlignment="1" applyProtection="1">
      <alignment horizontal="center" vertical="top"/>
    </xf>
    <xf numFmtId="3" fontId="8" fillId="2" borderId="1" xfId="0" applyNumberFormat="1" applyFont="1" applyFill="1" applyBorder="1" applyAlignment="1" applyProtection="1">
      <alignment horizontal="right" vertical="top"/>
    </xf>
    <xf numFmtId="0" fontId="13" fillId="2" borderId="8" xfId="0" applyFont="1" applyFill="1" applyBorder="1" applyAlignment="1" applyProtection="1">
      <alignment vertical="top"/>
    </xf>
    <xf numFmtId="3" fontId="3" fillId="2" borderId="0" xfId="0" applyNumberFormat="1" applyFont="1" applyFill="1" applyBorder="1" applyAlignment="1" applyProtection="1">
      <alignment horizontal="center" vertical="center"/>
    </xf>
    <xf numFmtId="3" fontId="3" fillId="2" borderId="0" xfId="0" applyNumberFormat="1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/>
    <xf numFmtId="0" fontId="6" fillId="3" borderId="9" xfId="3" applyFont="1" applyFill="1" applyBorder="1" applyAlignment="1" applyProtection="1">
      <alignment horizontal="center" vertical="center" wrapText="1"/>
    </xf>
    <xf numFmtId="0" fontId="6" fillId="3" borderId="10" xfId="3" applyFont="1" applyFill="1" applyBorder="1" applyAlignment="1" applyProtection="1">
      <alignment horizontal="center" vertical="center" wrapText="1"/>
    </xf>
    <xf numFmtId="0" fontId="6" fillId="3" borderId="10" xfId="0" applyFont="1" applyFill="1" applyBorder="1" applyAlignment="1" applyProtection="1">
      <alignment horizontal="center" vertical="center" wrapText="1"/>
    </xf>
    <xf numFmtId="0" fontId="6" fillId="3" borderId="11" xfId="3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Protection="1">
      <protection locked="0"/>
    </xf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right"/>
      <protection locked="0"/>
    </xf>
    <xf numFmtId="0" fontId="2" fillId="2" borderId="0" xfId="0" applyFont="1" applyFill="1" applyAlignment="1" applyProtection="1">
      <protection locked="0"/>
    </xf>
    <xf numFmtId="0" fontId="2" fillId="2" borderId="0" xfId="0" applyFont="1" applyFill="1" applyAlignment="1" applyProtection="1">
      <alignment wrapText="1"/>
      <protection locked="0"/>
    </xf>
    <xf numFmtId="0" fontId="2" fillId="2" borderId="0" xfId="0" applyFont="1" applyFill="1" applyBorder="1" applyAlignment="1">
      <alignment wrapText="1"/>
    </xf>
    <xf numFmtId="0" fontId="14" fillId="2" borderId="0" xfId="3" applyFont="1" applyFill="1" applyBorder="1" applyAlignment="1">
      <alignment horizontal="center"/>
    </xf>
    <xf numFmtId="3" fontId="7" fillId="2" borderId="0" xfId="0" applyNumberFormat="1" applyFont="1" applyFill="1" applyBorder="1" applyAlignment="1" applyProtection="1">
      <alignment horizontal="right" vertical="top"/>
    </xf>
    <xf numFmtId="3" fontId="7" fillId="2" borderId="0" xfId="1" applyNumberFormat="1" applyFont="1" applyFill="1" applyBorder="1" applyAlignment="1" applyProtection="1">
      <alignment horizontal="right" vertical="top" wrapText="1"/>
      <protection locked="0"/>
    </xf>
    <xf numFmtId="0" fontId="14" fillId="2" borderId="0" xfId="3" applyFont="1" applyFill="1" applyBorder="1" applyAlignment="1" applyProtection="1">
      <alignment horizontal="center"/>
    </xf>
    <xf numFmtId="0" fontId="7" fillId="2" borderId="7" xfId="0" applyFont="1" applyFill="1" applyBorder="1" applyAlignment="1">
      <alignment horizontal="left" vertical="top"/>
    </xf>
    <xf numFmtId="3" fontId="7" fillId="2" borderId="1" xfId="1" applyNumberFormat="1" applyFont="1" applyFill="1" applyBorder="1" applyAlignment="1" applyProtection="1">
      <alignment horizontal="right" vertical="top" wrapText="1"/>
      <protection locked="0"/>
    </xf>
    <xf numFmtId="0" fontId="2" fillId="2" borderId="10" xfId="0" applyFont="1" applyFill="1" applyBorder="1"/>
    <xf numFmtId="0" fontId="7" fillId="2" borderId="1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wrapText="1"/>
    </xf>
    <xf numFmtId="0" fontId="15" fillId="3" borderId="9" xfId="0" applyFont="1" applyFill="1" applyBorder="1" applyAlignment="1">
      <alignment horizontal="center" vertical="center"/>
    </xf>
    <xf numFmtId="0" fontId="16" fillId="2" borderId="0" xfId="4" applyFont="1" applyFill="1"/>
    <xf numFmtId="0" fontId="17" fillId="2" borderId="0" xfId="0" applyFont="1" applyFill="1"/>
    <xf numFmtId="0" fontId="16" fillId="2" borderId="0" xfId="4" applyFont="1" applyFill="1" applyAlignment="1">
      <alignment horizontal="center"/>
    </xf>
    <xf numFmtId="37" fontId="6" fillId="3" borderId="13" xfId="1" applyNumberFormat="1" applyFont="1" applyFill="1" applyBorder="1" applyAlignment="1" applyProtection="1">
      <alignment horizontal="center" vertical="center"/>
    </xf>
    <xf numFmtId="37" fontId="6" fillId="3" borderId="13" xfId="1" applyNumberFormat="1" applyFont="1" applyFill="1" applyBorder="1" applyAlignment="1" applyProtection="1">
      <alignment horizontal="center" wrapText="1"/>
    </xf>
    <xf numFmtId="37" fontId="6" fillId="3" borderId="13" xfId="1" applyNumberFormat="1" applyFont="1" applyFill="1" applyBorder="1" applyAlignment="1" applyProtection="1">
      <alignment horizontal="center"/>
    </xf>
    <xf numFmtId="0" fontId="18" fillId="2" borderId="2" xfId="4" applyFont="1" applyFill="1" applyBorder="1"/>
    <xf numFmtId="0" fontId="18" fillId="2" borderId="3" xfId="4" applyFont="1" applyFill="1" applyBorder="1"/>
    <xf numFmtId="0" fontId="18" fillId="2" borderId="4" xfId="4" applyFont="1" applyFill="1" applyBorder="1"/>
    <xf numFmtId="0" fontId="18" fillId="2" borderId="5" xfId="4" applyFont="1" applyFill="1" applyBorder="1" applyAlignment="1">
      <alignment horizontal="center" vertical="center"/>
    </xf>
    <xf numFmtId="0" fontId="18" fillId="2" borderId="7" xfId="4" applyFont="1" applyFill="1" applyBorder="1" applyAlignment="1">
      <alignment horizontal="center" vertical="center"/>
    </xf>
    <xf numFmtId="0" fontId="18" fillId="2" borderId="1" xfId="4" applyFont="1" applyFill="1" applyBorder="1" applyAlignment="1">
      <alignment horizontal="center" vertical="center"/>
    </xf>
    <xf numFmtId="0" fontId="18" fillId="2" borderId="8" xfId="4" applyFont="1" applyFill="1" applyBorder="1" applyAlignment="1">
      <alignment wrapText="1"/>
    </xf>
    <xf numFmtId="0" fontId="21" fillId="2" borderId="9" xfId="4" applyFont="1" applyFill="1" applyBorder="1" applyAlignment="1">
      <alignment horizontal="centerContinuous"/>
    </xf>
    <xf numFmtId="0" fontId="21" fillId="2" borderId="10" xfId="4" applyFont="1" applyFill="1" applyBorder="1" applyAlignment="1">
      <alignment horizontal="centerContinuous"/>
    </xf>
    <xf numFmtId="0" fontId="21" fillId="2" borderId="11" xfId="4" applyFont="1" applyFill="1" applyBorder="1" applyAlignment="1">
      <alignment horizontal="left" wrapText="1"/>
    </xf>
    <xf numFmtId="0" fontId="24" fillId="2" borderId="2" xfId="4" applyFont="1" applyFill="1" applyBorder="1"/>
    <xf numFmtId="0" fontId="24" fillId="2" borderId="3" xfId="4" applyFont="1" applyFill="1" applyBorder="1"/>
    <xf numFmtId="0" fontId="24" fillId="2" borderId="4" xfId="4" applyFont="1" applyFill="1" applyBorder="1"/>
    <xf numFmtId="0" fontId="25" fillId="2" borderId="5" xfId="4" applyFont="1" applyFill="1" applyBorder="1" applyAlignment="1">
      <alignment horizontal="left"/>
    </xf>
    <xf numFmtId="0" fontId="25" fillId="2" borderId="0" xfId="4" applyFont="1" applyFill="1" applyBorder="1" applyAlignment="1">
      <alignment horizontal="left"/>
    </xf>
    <xf numFmtId="0" fontId="17" fillId="0" borderId="6" xfId="0" applyFont="1" applyBorder="1"/>
    <xf numFmtId="0" fontId="24" fillId="2" borderId="5" xfId="4" applyFont="1" applyFill="1" applyBorder="1" applyAlignment="1">
      <alignment horizontal="center" vertical="center"/>
    </xf>
    <xf numFmtId="0" fontId="17" fillId="0" borderId="0" xfId="0" applyFont="1" applyBorder="1"/>
    <xf numFmtId="0" fontId="26" fillId="2" borderId="6" xfId="0" applyFont="1" applyFill="1" applyBorder="1" applyAlignment="1">
      <alignment vertical="center" wrapText="1"/>
    </xf>
    <xf numFmtId="0" fontId="25" fillId="2" borderId="5" xfId="4" applyFont="1" applyFill="1" applyBorder="1" applyAlignment="1">
      <alignment horizontal="center" vertical="center"/>
    </xf>
    <xf numFmtId="0" fontId="16" fillId="0" borderId="0" xfId="0" applyFont="1" applyBorder="1"/>
    <xf numFmtId="0" fontId="16" fillId="0" borderId="6" xfId="0" applyFont="1" applyBorder="1"/>
    <xf numFmtId="0" fontId="24" fillId="2" borderId="0" xfId="4" applyFont="1" applyFill="1" applyBorder="1" applyAlignment="1">
      <alignment horizontal="center" vertical="center"/>
    </xf>
    <xf numFmtId="0" fontId="24" fillId="2" borderId="7" xfId="4" applyFont="1" applyFill="1" applyBorder="1" applyAlignment="1">
      <alignment horizontal="center" vertical="center"/>
    </xf>
    <xf numFmtId="0" fontId="24" fillId="2" borderId="1" xfId="4" applyFont="1" applyFill="1" applyBorder="1" applyAlignment="1">
      <alignment horizontal="center" vertical="center"/>
    </xf>
    <xf numFmtId="0" fontId="24" fillId="2" borderId="8" xfId="4" applyFont="1" applyFill="1" applyBorder="1" applyAlignment="1">
      <alignment wrapText="1"/>
    </xf>
    <xf numFmtId="0" fontId="25" fillId="2" borderId="9" xfId="4" applyFont="1" applyFill="1" applyBorder="1" applyAlignment="1">
      <alignment horizontal="centerContinuous"/>
    </xf>
    <xf numFmtId="0" fontId="25" fillId="2" borderId="10" xfId="4" applyFont="1" applyFill="1" applyBorder="1" applyAlignment="1">
      <alignment horizontal="centerContinuous"/>
    </xf>
    <xf numFmtId="0" fontId="25" fillId="2" borderId="11" xfId="4" applyFont="1" applyFill="1" applyBorder="1" applyAlignment="1">
      <alignment horizontal="left" wrapText="1" indent="1"/>
    </xf>
    <xf numFmtId="0" fontId="28" fillId="2" borderId="3" xfId="0" applyFont="1" applyFill="1" applyBorder="1" applyAlignment="1">
      <alignment vertical="top" wrapText="1"/>
    </xf>
    <xf numFmtId="0" fontId="31" fillId="2" borderId="0" xfId="0" applyFont="1" applyFill="1"/>
    <xf numFmtId="0" fontId="17" fillId="2" borderId="5" xfId="0" applyFont="1" applyFill="1" applyBorder="1" applyAlignment="1">
      <alignment horizontal="justify" vertical="center" wrapText="1"/>
    </xf>
    <xf numFmtId="0" fontId="17" fillId="2" borderId="6" xfId="0" applyFont="1" applyFill="1" applyBorder="1" applyAlignment="1">
      <alignment horizontal="justify" vertical="center" wrapText="1"/>
    </xf>
    <xf numFmtId="0" fontId="17" fillId="2" borderId="16" xfId="0" applyFont="1" applyFill="1" applyBorder="1" applyAlignment="1">
      <alignment horizontal="justify" vertical="center" wrapText="1"/>
    </xf>
    <xf numFmtId="0" fontId="17" fillId="2" borderId="5" xfId="0" applyFont="1" applyFill="1" applyBorder="1" applyAlignment="1">
      <alignment horizontal="justify" vertical="top" wrapText="1"/>
    </xf>
    <xf numFmtId="0" fontId="2" fillId="2" borderId="6" xfId="0" applyFont="1" applyFill="1" applyBorder="1" applyAlignment="1" applyProtection="1">
      <alignment horizontal="justify" vertical="top" wrapText="1"/>
      <protection locked="0"/>
    </xf>
    <xf numFmtId="167" fontId="19" fillId="2" borderId="16" xfId="0" applyNumberFormat="1" applyFont="1" applyFill="1" applyBorder="1" applyAlignment="1" applyProtection="1">
      <alignment vertical="center" wrapText="1"/>
      <protection locked="0"/>
    </xf>
    <xf numFmtId="1" fontId="19" fillId="2" borderId="16" xfId="0" applyNumberFormat="1" applyFont="1" applyFill="1" applyBorder="1" applyAlignment="1" applyProtection="1">
      <alignment vertical="center" wrapText="1"/>
    </xf>
    <xf numFmtId="0" fontId="17" fillId="2" borderId="7" xfId="0" applyFont="1" applyFill="1" applyBorder="1" applyAlignment="1">
      <alignment horizontal="justify" vertical="top" wrapText="1"/>
    </xf>
    <xf numFmtId="0" fontId="2" fillId="2" borderId="8" xfId="0" applyFont="1" applyFill="1" applyBorder="1" applyAlignment="1">
      <alignment horizontal="justify" vertical="top" wrapText="1"/>
    </xf>
    <xf numFmtId="0" fontId="2" fillId="2" borderId="15" xfId="0" applyFont="1" applyFill="1" applyBorder="1" applyAlignment="1">
      <alignment horizontal="justify" vertical="top" wrapText="1"/>
    </xf>
    <xf numFmtId="1" fontId="2" fillId="2" borderId="15" xfId="0" applyNumberFormat="1" applyFont="1" applyFill="1" applyBorder="1" applyAlignment="1">
      <alignment horizontal="justify" vertical="top" wrapText="1"/>
    </xf>
    <xf numFmtId="0" fontId="16" fillId="2" borderId="7" xfId="0" applyFont="1" applyFill="1" applyBorder="1" applyAlignment="1">
      <alignment horizontal="justify" vertical="top" wrapText="1"/>
    </xf>
    <xf numFmtId="0" fontId="9" fillId="2" borderId="8" xfId="0" applyFont="1" applyFill="1" applyBorder="1" applyAlignment="1">
      <alignment horizontal="justify" vertical="top" wrapText="1"/>
    </xf>
    <xf numFmtId="1" fontId="32" fillId="2" borderId="13" xfId="0" applyNumberFormat="1" applyFont="1" applyFill="1" applyBorder="1" applyAlignment="1">
      <alignment vertical="center" wrapText="1"/>
    </xf>
    <xf numFmtId="165" fontId="6" fillId="3" borderId="11" xfId="1" applyNumberFormat="1" applyFont="1" applyFill="1" applyBorder="1" applyAlignment="1" applyProtection="1">
      <alignment horizontal="center" vertical="center"/>
    </xf>
    <xf numFmtId="165" fontId="6" fillId="3" borderId="11" xfId="1" applyNumberFormat="1" applyFont="1" applyFill="1" applyBorder="1" applyAlignment="1" applyProtection="1">
      <alignment horizontal="center" vertical="center" wrapText="1"/>
    </xf>
    <xf numFmtId="0" fontId="17" fillId="2" borderId="2" xfId="0" applyFont="1" applyFill="1" applyBorder="1" applyAlignment="1">
      <alignment horizontal="justify" vertical="center" wrapText="1"/>
    </xf>
    <xf numFmtId="0" fontId="17" fillId="2" borderId="4" xfId="0" applyFont="1" applyFill="1" applyBorder="1" applyAlignment="1">
      <alignment horizontal="justify" vertical="center" wrapText="1"/>
    </xf>
    <xf numFmtId="3" fontId="17" fillId="2" borderId="14" xfId="0" applyNumberFormat="1" applyFont="1" applyFill="1" applyBorder="1" applyAlignment="1">
      <alignment horizontal="right" vertical="center" wrapText="1"/>
    </xf>
    <xf numFmtId="3" fontId="17" fillId="2" borderId="16" xfId="0" applyNumberFormat="1" applyFont="1" applyFill="1" applyBorder="1" applyAlignment="1" applyProtection="1">
      <alignment horizontal="right" vertical="center" wrapText="1"/>
      <protection locked="0"/>
    </xf>
    <xf numFmtId="3" fontId="17" fillId="2" borderId="16" xfId="0" applyNumberFormat="1" applyFont="1" applyFill="1" applyBorder="1" applyAlignment="1">
      <alignment horizontal="right" vertical="center" wrapText="1"/>
    </xf>
    <xf numFmtId="0" fontId="16" fillId="2" borderId="7" xfId="0" applyFont="1" applyFill="1" applyBorder="1" applyAlignment="1">
      <alignment horizontal="justify" vertical="center" wrapText="1"/>
    </xf>
    <xf numFmtId="0" fontId="16" fillId="2" borderId="8" xfId="0" applyFont="1" applyFill="1" applyBorder="1" applyAlignment="1">
      <alignment horizontal="justify" vertical="center" wrapText="1"/>
    </xf>
    <xf numFmtId="3" fontId="17" fillId="2" borderId="15" xfId="0" applyNumberFormat="1" applyFont="1" applyFill="1" applyBorder="1" applyAlignment="1">
      <alignment horizontal="right" vertical="center" wrapText="1"/>
    </xf>
    <xf numFmtId="3" fontId="16" fillId="2" borderId="15" xfId="0" applyNumberFormat="1" applyFont="1" applyFill="1" applyBorder="1" applyAlignment="1" applyProtection="1">
      <alignment horizontal="right" vertical="center" wrapText="1"/>
    </xf>
    <xf numFmtId="0" fontId="16" fillId="2" borderId="0" xfId="0" applyFont="1" applyFill="1" applyBorder="1" applyAlignment="1">
      <alignment horizontal="justify" vertical="center" wrapText="1"/>
    </xf>
    <xf numFmtId="3" fontId="16" fillId="2" borderId="0" xfId="0" applyNumberFormat="1" applyFont="1" applyFill="1" applyBorder="1" applyAlignment="1" applyProtection="1">
      <alignment horizontal="right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9" fillId="0" borderId="9" xfId="0" applyFont="1" applyBorder="1" applyAlignment="1">
      <alignment horizontal="justify" vertical="center" wrapText="1"/>
    </xf>
    <xf numFmtId="0" fontId="9" fillId="0" borderId="11" xfId="0" applyFont="1" applyBorder="1" applyAlignment="1">
      <alignment horizontal="justify" vertical="center" wrapText="1"/>
    </xf>
    <xf numFmtId="0" fontId="34" fillId="0" borderId="0" xfId="0" applyFont="1"/>
    <xf numFmtId="165" fontId="6" fillId="3" borderId="9" xfId="1" applyNumberFormat="1" applyFont="1" applyFill="1" applyBorder="1" applyAlignment="1" applyProtection="1">
      <alignment horizontal="center" vertical="center"/>
    </xf>
    <xf numFmtId="165" fontId="6" fillId="3" borderId="9" xfId="1" applyNumberFormat="1" applyFont="1" applyFill="1" applyBorder="1" applyAlignment="1" applyProtection="1">
      <alignment horizontal="center" vertical="center" wrapText="1"/>
    </xf>
    <xf numFmtId="165" fontId="6" fillId="3" borderId="13" xfId="1" applyNumberFormat="1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justify" vertical="center" wrapText="1"/>
    </xf>
    <xf numFmtId="3" fontId="2" fillId="2" borderId="14" xfId="0" applyNumberFormat="1" applyFont="1" applyFill="1" applyBorder="1" applyAlignment="1">
      <alignment horizontal="justify" vertical="center" wrapText="1"/>
    </xf>
    <xf numFmtId="3" fontId="9" fillId="2" borderId="16" xfId="0" applyNumberFormat="1" applyFont="1" applyFill="1" applyBorder="1" applyAlignment="1">
      <alignment horizontal="right" vertical="top" wrapText="1"/>
    </xf>
    <xf numFmtId="3" fontId="2" fillId="2" borderId="16" xfId="0" applyNumberFormat="1" applyFont="1" applyFill="1" applyBorder="1" applyAlignment="1" applyProtection="1">
      <alignment horizontal="right" vertical="top" wrapText="1"/>
      <protection locked="0"/>
    </xf>
    <xf numFmtId="3" fontId="2" fillId="2" borderId="16" xfId="0" applyNumberFormat="1" applyFont="1" applyFill="1" applyBorder="1" applyAlignment="1">
      <alignment horizontal="right" vertical="top" wrapText="1"/>
    </xf>
    <xf numFmtId="0" fontId="2" fillId="2" borderId="5" xfId="0" applyFont="1" applyFill="1" applyBorder="1" applyAlignment="1">
      <alignment horizontal="left" vertical="top"/>
    </xf>
    <xf numFmtId="0" fontId="2" fillId="2" borderId="6" xfId="0" applyFont="1" applyFill="1" applyBorder="1" applyAlignment="1">
      <alignment horizontal="justify" vertical="top"/>
    </xf>
    <xf numFmtId="3" fontId="2" fillId="2" borderId="16" xfId="0" applyNumberFormat="1" applyFont="1" applyFill="1" applyBorder="1" applyAlignment="1" applyProtection="1">
      <alignment horizontal="right" vertical="top" wrapText="1"/>
    </xf>
    <xf numFmtId="3" fontId="2" fillId="2" borderId="16" xfId="0" applyNumberFormat="1" applyFont="1" applyFill="1" applyBorder="1" applyAlignment="1" applyProtection="1">
      <alignment horizontal="right" vertical="top"/>
      <protection locked="0"/>
    </xf>
    <xf numFmtId="3" fontId="2" fillId="2" borderId="16" xfId="0" applyNumberFormat="1" applyFont="1" applyFill="1" applyBorder="1" applyAlignment="1" applyProtection="1">
      <alignment horizontal="right" vertical="top"/>
    </xf>
    <xf numFmtId="3" fontId="9" fillId="2" borderId="16" xfId="0" applyNumberFormat="1" applyFont="1" applyFill="1" applyBorder="1" applyAlignment="1">
      <alignment horizontal="right" vertical="top"/>
    </xf>
    <xf numFmtId="3" fontId="9" fillId="2" borderId="16" xfId="0" applyNumberFormat="1" applyFont="1" applyFill="1" applyBorder="1" applyAlignment="1" applyProtection="1">
      <alignment horizontal="right" vertical="top"/>
    </xf>
    <xf numFmtId="0" fontId="2" fillId="2" borderId="7" xfId="0" applyFont="1" applyFill="1" applyBorder="1" applyAlignment="1">
      <alignment horizontal="left" vertical="top"/>
    </xf>
    <xf numFmtId="0" fontId="2" fillId="2" borderId="8" xfId="0" applyFont="1" applyFill="1" applyBorder="1" applyAlignment="1">
      <alignment vertical="top"/>
    </xf>
    <xf numFmtId="3" fontId="2" fillId="2" borderId="15" xfId="0" applyNumberFormat="1" applyFont="1" applyFill="1" applyBorder="1" applyAlignment="1" applyProtection="1">
      <alignment horizontal="right" vertical="top"/>
    </xf>
    <xf numFmtId="0" fontId="9" fillId="2" borderId="7" xfId="0" applyFont="1" applyFill="1" applyBorder="1" applyAlignment="1">
      <alignment horizontal="left" vertical="top"/>
    </xf>
    <xf numFmtId="0" fontId="9" fillId="2" borderId="8" xfId="0" applyFont="1" applyFill="1" applyBorder="1" applyAlignment="1">
      <alignment vertical="top"/>
    </xf>
    <xf numFmtId="3" fontId="9" fillId="2" borderId="15" xfId="0" applyNumberFormat="1" applyFont="1" applyFill="1" applyBorder="1" applyAlignment="1">
      <alignment horizontal="right" vertical="top"/>
    </xf>
    <xf numFmtId="0" fontId="34" fillId="2" borderId="0" xfId="0" applyFont="1" applyFill="1"/>
    <xf numFmtId="165" fontId="6" fillId="4" borderId="0" xfId="1" applyNumberFormat="1" applyFont="1" applyFill="1" applyBorder="1" applyAlignment="1" applyProtection="1">
      <alignment vertical="center"/>
    </xf>
    <xf numFmtId="0" fontId="35" fillId="2" borderId="0" xfId="0" applyFont="1" applyFill="1"/>
    <xf numFmtId="0" fontId="2" fillId="0" borderId="0" xfId="0" applyFont="1"/>
    <xf numFmtId="165" fontId="6" fillId="3" borderId="14" xfId="1" applyNumberFormat="1" applyFont="1" applyFill="1" applyBorder="1" applyAlignment="1" applyProtection="1">
      <alignment horizontal="center"/>
    </xf>
    <xf numFmtId="0" fontId="2" fillId="2" borderId="2" xfId="0" applyFont="1" applyFill="1" applyBorder="1" applyAlignment="1" applyProtection="1">
      <alignment horizontal="justify" vertical="center" wrapText="1"/>
    </xf>
    <xf numFmtId="0" fontId="2" fillId="2" borderId="4" xfId="0" applyFont="1" applyFill="1" applyBorder="1" applyAlignment="1" applyProtection="1">
      <alignment horizontal="justify" vertical="center" wrapText="1"/>
    </xf>
    <xf numFmtId="0" fontId="2" fillId="2" borderId="14" xfId="0" applyFont="1" applyFill="1" applyBorder="1" applyAlignment="1" applyProtection="1">
      <alignment horizontal="justify" vertical="center" wrapText="1"/>
    </xf>
    <xf numFmtId="0" fontId="2" fillId="2" borderId="18" xfId="0" applyFont="1" applyFill="1" applyBorder="1" applyAlignment="1" applyProtection="1">
      <alignment horizontal="right" vertical="center" wrapText="1"/>
    </xf>
    <xf numFmtId="0" fontId="2" fillId="0" borderId="7" xfId="0" applyFont="1" applyBorder="1"/>
    <xf numFmtId="0" fontId="9" fillId="2" borderId="8" xfId="0" applyFont="1" applyFill="1" applyBorder="1" applyAlignment="1">
      <alignment vertical="center" wrapText="1"/>
    </xf>
    <xf numFmtId="0" fontId="2" fillId="2" borderId="15" xfId="0" applyFont="1" applyFill="1" applyBorder="1" applyAlignment="1" applyProtection="1">
      <alignment horizontal="right" vertical="center" wrapText="1"/>
      <protection locked="0"/>
    </xf>
    <xf numFmtId="0" fontId="2" fillId="0" borderId="9" xfId="0" applyFont="1" applyBorder="1"/>
    <xf numFmtId="0" fontId="9" fillId="2" borderId="11" xfId="0" applyFont="1" applyFill="1" applyBorder="1" applyAlignment="1">
      <alignment vertical="center" wrapText="1"/>
    </xf>
    <xf numFmtId="0" fontId="2" fillId="2" borderId="13" xfId="0" applyFont="1" applyFill="1" applyBorder="1" applyAlignment="1" applyProtection="1">
      <alignment horizontal="right" vertical="center" wrapText="1"/>
      <protection locked="0"/>
    </xf>
    <xf numFmtId="0" fontId="2" fillId="2" borderId="2" xfId="0" applyFont="1" applyFill="1" applyBorder="1" applyAlignment="1">
      <alignment horizontal="justify" vertical="center" wrapText="1"/>
    </xf>
    <xf numFmtId="0" fontId="2" fillId="2" borderId="14" xfId="0" applyFont="1" applyFill="1" applyBorder="1" applyAlignment="1">
      <alignment horizontal="right" vertical="center" wrapText="1"/>
    </xf>
    <xf numFmtId="0" fontId="2" fillId="2" borderId="18" xfId="0" applyFont="1" applyFill="1" applyBorder="1" applyAlignment="1">
      <alignment horizontal="righ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4" xfId="0" applyFont="1" applyFill="1" applyBorder="1" applyAlignment="1">
      <alignment horizontal="justify" vertical="center" wrapText="1"/>
    </xf>
    <xf numFmtId="0" fontId="2" fillId="2" borderId="14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>
      <alignment horizontal="justify" vertical="center" wrapText="1"/>
    </xf>
    <xf numFmtId="0" fontId="2" fillId="2" borderId="6" xfId="0" applyFont="1" applyFill="1" applyBorder="1" applyAlignment="1">
      <alignment horizontal="justify" vertical="center" wrapText="1"/>
    </xf>
    <xf numFmtId="0" fontId="2" fillId="2" borderId="16" xfId="0" applyFont="1" applyFill="1" applyBorder="1" applyAlignment="1">
      <alignment horizontal="right" vertical="center" wrapText="1"/>
    </xf>
    <xf numFmtId="0" fontId="2" fillId="2" borderId="18" xfId="0" applyFont="1" applyFill="1" applyBorder="1" applyAlignment="1" applyProtection="1">
      <alignment horizontal="right" vertical="center" wrapText="1"/>
      <protection locked="0"/>
    </xf>
    <xf numFmtId="0" fontId="2" fillId="2" borderId="19" xfId="0" applyFont="1" applyFill="1" applyBorder="1" applyAlignment="1" applyProtection="1">
      <alignment horizontal="right" vertical="center" wrapText="1"/>
      <protection locked="0"/>
    </xf>
    <xf numFmtId="0" fontId="9" fillId="2" borderId="5" xfId="0" applyFont="1" applyFill="1" applyBorder="1" applyAlignment="1">
      <alignment horizontal="justify" vertical="center" wrapText="1"/>
    </xf>
    <xf numFmtId="0" fontId="9" fillId="2" borderId="6" xfId="0" applyFont="1" applyFill="1" applyBorder="1" applyAlignment="1">
      <alignment horizontal="justify" vertical="center" wrapText="1"/>
    </xf>
    <xf numFmtId="0" fontId="9" fillId="2" borderId="18" xfId="0" applyFont="1" applyFill="1" applyBorder="1" applyAlignment="1">
      <alignment horizontal="right" vertical="center" wrapText="1"/>
    </xf>
    <xf numFmtId="0" fontId="2" fillId="2" borderId="14" xfId="0" applyFont="1" applyFill="1" applyBorder="1" applyAlignment="1">
      <alignment horizontal="justify" vertical="center" wrapText="1"/>
    </xf>
    <xf numFmtId="0" fontId="2" fillId="2" borderId="16" xfId="0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Alignment="1">
      <alignment wrapText="1"/>
    </xf>
    <xf numFmtId="165" fontId="33" fillId="3" borderId="25" xfId="1" applyNumberFormat="1" applyFont="1" applyFill="1" applyBorder="1" applyAlignment="1" applyProtection="1">
      <alignment horizontal="right"/>
    </xf>
    <xf numFmtId="165" fontId="33" fillId="3" borderId="26" xfId="1" applyNumberFormat="1" applyFont="1" applyFill="1" applyBorder="1" applyAlignment="1" applyProtection="1">
      <alignment horizontal="right"/>
    </xf>
    <xf numFmtId="165" fontId="33" fillId="3" borderId="26" xfId="1" applyNumberFormat="1" applyFont="1" applyFill="1" applyBorder="1" applyAlignment="1" applyProtection="1">
      <alignment horizontal="center"/>
    </xf>
    <xf numFmtId="165" fontId="33" fillId="3" borderId="27" xfId="1" applyNumberFormat="1" applyFont="1" applyFill="1" applyBorder="1" applyAlignment="1" applyProtection="1"/>
    <xf numFmtId="165" fontId="6" fillId="3" borderId="14" xfId="1" applyNumberFormat="1" applyFont="1" applyFill="1" applyBorder="1" applyAlignment="1" applyProtection="1">
      <alignment horizontal="center" vertical="center"/>
    </xf>
    <xf numFmtId="165" fontId="6" fillId="3" borderId="2" xfId="1" applyNumberFormat="1" applyFont="1" applyFill="1" applyBorder="1" applyAlignment="1" applyProtection="1">
      <alignment horizontal="center" vertical="center"/>
    </xf>
    <xf numFmtId="165" fontId="6" fillId="3" borderId="15" xfId="1" applyNumberFormat="1" applyFont="1" applyFill="1" applyBorder="1" applyAlignment="1" applyProtection="1">
      <alignment horizontal="center"/>
    </xf>
    <xf numFmtId="165" fontId="6" fillId="3" borderId="7" xfId="1" applyNumberFormat="1" applyFont="1" applyFill="1" applyBorder="1" applyAlignment="1" applyProtection="1">
      <alignment horizontal="center"/>
    </xf>
    <xf numFmtId="3" fontId="9" fillId="0" borderId="6" xfId="0" applyNumberFormat="1" applyFont="1" applyFill="1" applyBorder="1" applyAlignment="1">
      <alignment vertical="center" wrapText="1"/>
    </xf>
    <xf numFmtId="0" fontId="34" fillId="0" borderId="0" xfId="0" applyFont="1" applyFill="1"/>
    <xf numFmtId="0" fontId="2" fillId="0" borderId="5" xfId="0" applyFont="1" applyFill="1" applyBorder="1" applyAlignment="1">
      <alignment horizontal="justify" vertical="center" wrapText="1"/>
    </xf>
    <xf numFmtId="3" fontId="9" fillId="0" borderId="6" xfId="0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Border="1" applyAlignment="1">
      <alignment horizontal="justify" vertical="center" wrapText="1"/>
    </xf>
    <xf numFmtId="0" fontId="2" fillId="0" borderId="6" xfId="0" applyFont="1" applyFill="1" applyBorder="1" applyAlignment="1">
      <alignment horizontal="justify" vertical="center" wrapText="1"/>
    </xf>
    <xf numFmtId="3" fontId="2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16" xfId="0" applyNumberFormat="1" applyFont="1" applyFill="1" applyBorder="1" applyAlignment="1" applyProtection="1">
      <alignment horizontal="right" vertical="center" wrapText="1"/>
      <protection locked="0"/>
    </xf>
    <xf numFmtId="3" fontId="7" fillId="2" borderId="16" xfId="0" applyNumberFormat="1" applyFont="1" applyFill="1" applyBorder="1" applyAlignment="1" applyProtection="1">
      <alignment horizontal="right" vertical="center" wrapText="1"/>
    </xf>
    <xf numFmtId="3" fontId="2" fillId="2" borderId="16" xfId="0" applyNumberFormat="1" applyFont="1" applyFill="1" applyBorder="1" applyAlignment="1" applyProtection="1">
      <alignment horizontal="right" vertical="center" wrapText="1"/>
    </xf>
    <xf numFmtId="0" fontId="2" fillId="0" borderId="7" xfId="0" applyFont="1" applyFill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justify" vertical="center" wrapText="1"/>
    </xf>
    <xf numFmtId="0" fontId="2" fillId="0" borderId="8" xfId="0" applyFont="1" applyFill="1" applyBorder="1" applyAlignment="1">
      <alignment horizontal="justify" vertical="center" wrapText="1"/>
    </xf>
    <xf numFmtId="3" fontId="2" fillId="0" borderId="8" xfId="0" applyNumberFormat="1" applyFont="1" applyFill="1" applyBorder="1" applyAlignment="1">
      <alignment horizontal="right" vertical="center" wrapText="1"/>
    </xf>
    <xf numFmtId="3" fontId="2" fillId="0" borderId="15" xfId="0" applyNumberFormat="1" applyFont="1" applyFill="1" applyBorder="1" applyAlignment="1">
      <alignment horizontal="right" vertical="center" wrapText="1"/>
    </xf>
    <xf numFmtId="0" fontId="9" fillId="0" borderId="9" xfId="0" applyFont="1" applyFill="1" applyBorder="1" applyAlignment="1">
      <alignment horizontal="justify" vertical="center" wrapText="1"/>
    </xf>
    <xf numFmtId="3" fontId="9" fillId="0" borderId="15" xfId="0" applyNumberFormat="1" applyFont="1" applyFill="1" applyBorder="1" applyAlignment="1" applyProtection="1">
      <alignment horizontal="right" vertical="center" wrapText="1"/>
    </xf>
    <xf numFmtId="0" fontId="18" fillId="5" borderId="0" xfId="0" applyNumberFormat="1" applyFont="1" applyFill="1" applyBorder="1" applyAlignment="1" applyProtection="1"/>
    <xf numFmtId="0" fontId="3" fillId="5" borderId="0" xfId="0" applyNumberFormat="1" applyFont="1" applyFill="1" applyBorder="1" applyAlignment="1" applyProtection="1">
      <alignment horizontal="right"/>
    </xf>
    <xf numFmtId="0" fontId="7" fillId="5" borderId="28" xfId="0" applyNumberFormat="1" applyFont="1" applyFill="1" applyBorder="1" applyAlignment="1" applyProtection="1">
      <protection locked="0"/>
    </xf>
    <xf numFmtId="0" fontId="3" fillId="5" borderId="0" xfId="0" applyNumberFormat="1" applyFont="1" applyFill="1" applyBorder="1" applyAlignment="1" applyProtection="1">
      <alignment horizontal="center"/>
    </xf>
    <xf numFmtId="0" fontId="21" fillId="5" borderId="0" xfId="0" applyNumberFormat="1" applyFont="1" applyFill="1" applyBorder="1" applyAlignment="1" applyProtection="1">
      <alignment horizontal="centerContinuous"/>
    </xf>
    <xf numFmtId="0" fontId="3" fillId="5" borderId="0" xfId="0" applyNumberFormat="1" applyFont="1" applyFill="1" applyBorder="1" applyAlignment="1" applyProtection="1">
      <alignment horizontal="centerContinuous"/>
    </xf>
    <xf numFmtId="0" fontId="21" fillId="5" borderId="0" xfId="0" applyNumberFormat="1" applyFont="1" applyFill="1" applyBorder="1" applyAlignment="1" applyProtection="1">
      <alignment horizontal="center"/>
    </xf>
    <xf numFmtId="0" fontId="0" fillId="0" borderId="0" xfId="0" applyProtection="1"/>
    <xf numFmtId="0" fontId="7" fillId="5" borderId="0" xfId="0" applyNumberFormat="1" applyFont="1" applyFill="1" applyBorder="1" applyAlignment="1" applyProtection="1">
      <alignment horizontal="center" vertical="center"/>
    </xf>
    <xf numFmtId="0" fontId="18" fillId="5" borderId="0" xfId="0" applyNumberFormat="1" applyFont="1" applyFill="1" applyBorder="1" applyAlignment="1" applyProtection="1">
      <alignment horizontal="center"/>
    </xf>
    <xf numFmtId="0" fontId="37" fillId="3" borderId="30" xfId="0" applyNumberFormat="1" applyFont="1" applyFill="1" applyBorder="1" applyAlignment="1" applyProtection="1">
      <alignment horizontal="center" vertical="center"/>
    </xf>
    <xf numFmtId="0" fontId="37" fillId="3" borderId="31" xfId="0" applyNumberFormat="1" applyFont="1" applyFill="1" applyBorder="1" applyAlignment="1" applyProtection="1">
      <alignment horizontal="center" vertical="center"/>
    </xf>
    <xf numFmtId="0" fontId="18" fillId="5" borderId="32" xfId="0" applyNumberFormat="1" applyFont="1" applyFill="1" applyBorder="1" applyAlignment="1" applyProtection="1">
      <protection locked="0"/>
    </xf>
    <xf numFmtId="0" fontId="3" fillId="5" borderId="0" xfId="0" applyNumberFormat="1" applyFont="1" applyFill="1" applyBorder="1" applyAlignment="1" applyProtection="1">
      <alignment vertical="center"/>
      <protection locked="0"/>
    </xf>
    <xf numFmtId="0" fontId="18" fillId="0" borderId="33" xfId="0" applyNumberFormat="1" applyFont="1" applyFill="1" applyBorder="1" applyAlignment="1" applyProtection="1">
      <protection locked="0"/>
    </xf>
    <xf numFmtId="0" fontId="7" fillId="5" borderId="32" xfId="0" applyNumberFormat="1" applyFont="1" applyFill="1" applyBorder="1" applyAlignment="1" applyProtection="1">
      <alignment vertical="top"/>
      <protection locked="0"/>
    </xf>
    <xf numFmtId="0" fontId="7" fillId="5" borderId="0" xfId="0" applyNumberFormat="1" applyFont="1" applyFill="1" applyBorder="1" applyAlignment="1" applyProtection="1">
      <alignment vertical="top"/>
      <protection locked="0"/>
    </xf>
    <xf numFmtId="0" fontId="7" fillId="5" borderId="34" xfId="0" applyNumberFormat="1" applyFont="1" applyFill="1" applyBorder="1" applyAlignment="1" applyProtection="1">
      <alignment horizontal="left" vertical="top" wrapText="1"/>
      <protection locked="0"/>
    </xf>
    <xf numFmtId="3" fontId="7" fillId="5" borderId="0" xfId="0" applyNumberFormat="1" applyFont="1" applyFill="1" applyBorder="1" applyAlignment="1" applyProtection="1">
      <alignment horizontal="right" vertical="top"/>
      <protection locked="0"/>
    </xf>
    <xf numFmtId="0" fontId="18" fillId="5" borderId="33" xfId="0" applyNumberFormat="1" applyFont="1" applyFill="1" applyBorder="1" applyAlignment="1" applyProtection="1">
      <alignment vertical="top"/>
      <protection locked="0"/>
    </xf>
    <xf numFmtId="0" fontId="7" fillId="5" borderId="32" xfId="0" applyNumberFormat="1" applyFont="1" applyFill="1" applyBorder="1" applyAlignment="1" applyProtection="1">
      <alignment horizontal="center" vertical="top"/>
      <protection locked="0"/>
    </xf>
    <xf numFmtId="0" fontId="7" fillId="5" borderId="0" xfId="0" applyNumberFormat="1" applyFont="1" applyFill="1" applyBorder="1" applyAlignment="1" applyProtection="1">
      <alignment horizontal="center" vertical="top"/>
      <protection locked="0"/>
    </xf>
    <xf numFmtId="0" fontId="3" fillId="5" borderId="35" xfId="0" applyNumberFormat="1" applyFont="1" applyFill="1" applyBorder="1" applyAlignment="1" applyProtection="1">
      <alignment vertical="top"/>
      <protection locked="0"/>
    </xf>
    <xf numFmtId="0" fontId="3" fillId="5" borderId="28" xfId="0" applyNumberFormat="1" applyFont="1" applyFill="1" applyBorder="1" applyAlignment="1" applyProtection="1">
      <alignment vertical="top"/>
      <protection locked="0"/>
    </xf>
    <xf numFmtId="0" fontId="3" fillId="5" borderId="36" xfId="0" applyNumberFormat="1" applyFont="1" applyFill="1" applyBorder="1" applyAlignment="1" applyProtection="1">
      <alignment horizontal="left" vertical="top"/>
      <protection locked="0"/>
    </xf>
    <xf numFmtId="3" fontId="3" fillId="5" borderId="28" xfId="0" applyNumberFormat="1" applyFont="1" applyFill="1" applyBorder="1" applyAlignment="1" applyProtection="1">
      <alignment horizontal="right" vertical="top"/>
      <protection locked="0"/>
    </xf>
    <xf numFmtId="3" fontId="7" fillId="5" borderId="37" xfId="0" applyNumberFormat="1" applyFont="1" applyFill="1" applyBorder="1" applyAlignment="1" applyProtection="1">
      <alignment vertical="top"/>
      <protection locked="0"/>
    </xf>
    <xf numFmtId="0" fontId="38" fillId="5" borderId="0" xfId="0" applyNumberFormat="1" applyFont="1" applyFill="1" applyBorder="1" applyAlignment="1" applyProtection="1">
      <alignment vertical="center"/>
      <protection locked="0"/>
    </xf>
    <xf numFmtId="0" fontId="38" fillId="5" borderId="0" xfId="0" applyNumberFormat="1" applyFont="1" applyFill="1" applyBorder="1" applyAlignment="1" applyProtection="1">
      <alignment horizontal="right" vertical="top"/>
      <protection locked="0"/>
    </xf>
    <xf numFmtId="0" fontId="0" fillId="3" borderId="0" xfId="0" applyFill="1" applyProtection="1"/>
    <xf numFmtId="0" fontId="2" fillId="0" borderId="45" xfId="0" applyFont="1" applyBorder="1" applyAlignment="1">
      <alignment horizontal="center" vertical="center" wrapText="1"/>
    </xf>
    <xf numFmtId="0" fontId="2" fillId="0" borderId="49" xfId="0" applyFont="1" applyBorder="1" applyAlignment="1" applyProtection="1">
      <alignment horizontal="justify" vertical="center" wrapText="1"/>
      <protection locked="0"/>
    </xf>
    <xf numFmtId="0" fontId="2" fillId="0" borderId="45" xfId="0" applyFont="1" applyBorder="1" applyAlignment="1" applyProtection="1">
      <alignment horizontal="center" vertical="center" wrapText="1"/>
      <protection locked="0"/>
    </xf>
    <xf numFmtId="0" fontId="2" fillId="0" borderId="45" xfId="0" applyFont="1" applyBorder="1" applyAlignment="1" applyProtection="1">
      <alignment horizontal="left" vertical="center" wrapText="1"/>
      <protection locked="0"/>
    </xf>
    <xf numFmtId="0" fontId="3" fillId="2" borderId="0" xfId="0" applyFont="1" applyFill="1" applyBorder="1" applyAlignment="1" applyProtection="1">
      <alignment horizontal="left" vertical="top" wrapText="1"/>
    </xf>
    <xf numFmtId="0" fontId="7" fillId="2" borderId="0" xfId="0" applyFont="1" applyFill="1" applyBorder="1" applyAlignment="1" applyProtection="1">
      <alignment horizontal="left" vertical="top" wrapText="1"/>
    </xf>
    <xf numFmtId="0" fontId="7" fillId="2" borderId="0" xfId="0" applyFont="1" applyFill="1" applyBorder="1" applyAlignment="1" applyProtection="1">
      <alignment horizontal="left" vertical="top"/>
    </xf>
    <xf numFmtId="0" fontId="6" fillId="3" borderId="10" xfId="3" applyFont="1" applyFill="1" applyBorder="1" applyAlignment="1">
      <alignment horizontal="center" vertical="center"/>
    </xf>
    <xf numFmtId="0" fontId="3" fillId="2" borderId="0" xfId="3" applyFont="1" applyFill="1" applyBorder="1" applyAlignment="1">
      <alignment horizontal="center"/>
    </xf>
    <xf numFmtId="0" fontId="3" fillId="2" borderId="0" xfId="0" applyFont="1" applyFill="1" applyBorder="1" applyAlignment="1">
      <alignment vertical="top" wrapText="1"/>
    </xf>
    <xf numFmtId="0" fontId="8" fillId="2" borderId="0" xfId="0" applyFont="1" applyFill="1" applyBorder="1" applyAlignment="1">
      <alignment vertical="top" wrapText="1"/>
    </xf>
    <xf numFmtId="0" fontId="7" fillId="2" borderId="0" xfId="0" applyFont="1" applyFill="1" applyBorder="1" applyAlignment="1">
      <alignment horizontal="left" vertical="top"/>
    </xf>
    <xf numFmtId="0" fontId="9" fillId="2" borderId="0" xfId="0" applyFont="1" applyFill="1" applyBorder="1" applyAlignment="1">
      <alignment horizontal="left" vertical="top" wrapText="1"/>
    </xf>
    <xf numFmtId="0" fontId="3" fillId="2" borderId="0" xfId="3" applyFont="1" applyFill="1" applyBorder="1" applyAlignment="1">
      <alignment horizontal="left" vertical="top"/>
    </xf>
    <xf numFmtId="0" fontId="7" fillId="2" borderId="0" xfId="3" applyFont="1" applyFill="1" applyBorder="1" applyAlignment="1">
      <alignment horizontal="left" vertical="top"/>
    </xf>
    <xf numFmtId="0" fontId="3" fillId="2" borderId="0" xfId="3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/>
    </xf>
    <xf numFmtId="0" fontId="3" fillId="2" borderId="0" xfId="0" applyFont="1" applyFill="1" applyBorder="1" applyAlignment="1" applyProtection="1">
      <alignment horizontal="left" vertical="top"/>
    </xf>
    <xf numFmtId="165" fontId="6" fillId="3" borderId="0" xfId="1" applyNumberFormat="1" applyFont="1" applyFill="1" applyBorder="1" applyAlignment="1" applyProtection="1">
      <alignment horizontal="center"/>
    </xf>
    <xf numFmtId="0" fontId="40" fillId="0" borderId="0" xfId="0" applyFont="1" applyAlignment="1">
      <alignment horizontal="right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justify" vertical="center"/>
    </xf>
    <xf numFmtId="0" fontId="42" fillId="0" borderId="0" xfId="0" applyFont="1" applyAlignment="1">
      <alignment horizontal="justify" vertical="center"/>
    </xf>
    <xf numFmtId="0" fontId="2" fillId="0" borderId="0" xfId="0" applyFont="1" applyAlignment="1">
      <alignment horizontal="justify" vertical="center"/>
    </xf>
    <xf numFmtId="0" fontId="0" fillId="0" borderId="0" xfId="0" applyAlignment="1">
      <alignment vertical="center"/>
    </xf>
    <xf numFmtId="0" fontId="39" fillId="0" borderId="50" xfId="0" applyFont="1" applyBorder="1" applyAlignment="1">
      <alignment horizontal="center"/>
    </xf>
    <xf numFmtId="44" fontId="18" fillId="2" borderId="4" xfId="6" applyFont="1" applyFill="1" applyBorder="1" applyAlignment="1">
      <alignment horizontal="center"/>
    </xf>
    <xf numFmtId="44" fontId="18" fillId="2" borderId="14" xfId="6" applyFont="1" applyFill="1" applyBorder="1" applyAlignment="1">
      <alignment horizontal="center"/>
    </xf>
    <xf numFmtId="44" fontId="18" fillId="2" borderId="6" xfId="6" applyFont="1" applyFill="1" applyBorder="1" applyAlignment="1" applyProtection="1">
      <alignment horizontal="right"/>
      <protection locked="0"/>
    </xf>
    <xf numFmtId="44" fontId="18" fillId="2" borderId="6" xfId="6" applyFont="1" applyFill="1" applyBorder="1" applyAlignment="1" applyProtection="1">
      <alignment horizontal="right"/>
    </xf>
    <xf numFmtId="44" fontId="18" fillId="2" borderId="8" xfId="6" applyFont="1" applyFill="1" applyBorder="1" applyAlignment="1">
      <alignment horizontal="center"/>
    </xf>
    <xf numFmtId="44" fontId="21" fillId="2" borderId="13" xfId="6" applyFont="1" applyFill="1" applyBorder="1" applyAlignment="1" applyProtection="1">
      <alignment horizontal="right"/>
    </xf>
    <xf numFmtId="44" fontId="22" fillId="0" borderId="0" xfId="6" applyFont="1"/>
    <xf numFmtId="44" fontId="0" fillId="0" borderId="0" xfId="6" applyFont="1"/>
    <xf numFmtId="44" fontId="6" fillId="3" borderId="13" xfId="6" applyFont="1" applyFill="1" applyBorder="1" applyAlignment="1" applyProtection="1">
      <alignment horizontal="center" vertical="center"/>
    </xf>
    <xf numFmtId="44" fontId="6" fillId="3" borderId="13" xfId="6" applyFont="1" applyFill="1" applyBorder="1" applyAlignment="1" applyProtection="1">
      <alignment horizontal="center" wrapText="1"/>
    </xf>
    <xf numFmtId="44" fontId="6" fillId="3" borderId="13" xfId="6" applyFont="1" applyFill="1" applyBorder="1" applyAlignment="1" applyProtection="1">
      <alignment horizontal="center"/>
    </xf>
    <xf numFmtId="44" fontId="24" fillId="2" borderId="14" xfId="6" applyFont="1" applyFill="1" applyBorder="1" applyAlignment="1">
      <alignment horizontal="center"/>
    </xf>
    <xf numFmtId="44" fontId="25" fillId="2" borderId="16" xfId="6" applyFont="1" applyFill="1" applyBorder="1" applyAlignment="1">
      <alignment horizontal="right"/>
    </xf>
    <xf numFmtId="44" fontId="26" fillId="2" borderId="16" xfId="6" applyFont="1" applyFill="1" applyBorder="1" applyAlignment="1" applyProtection="1">
      <alignment horizontal="right" vertical="center" wrapText="1"/>
      <protection locked="0"/>
    </xf>
    <xf numFmtId="44" fontId="26" fillId="2" borderId="16" xfId="6" applyFont="1" applyFill="1" applyBorder="1" applyAlignment="1">
      <alignment horizontal="right" vertical="center" wrapText="1"/>
    </xf>
    <xf numFmtId="44" fontId="27" fillId="2" borderId="16" xfId="6" applyFont="1" applyFill="1" applyBorder="1" applyAlignment="1">
      <alignment horizontal="right" vertical="center" wrapText="1"/>
    </xf>
    <xf numFmtId="44" fontId="24" fillId="2" borderId="15" xfId="6" applyFont="1" applyFill="1" applyBorder="1" applyAlignment="1">
      <alignment horizontal="right"/>
    </xf>
    <xf numFmtId="44" fontId="25" fillId="2" borderId="13" xfId="6" applyFont="1" applyFill="1" applyBorder="1" applyAlignment="1">
      <alignment horizontal="right"/>
    </xf>
    <xf numFmtId="44" fontId="28" fillId="2" borderId="3" xfId="6" applyFont="1" applyFill="1" applyBorder="1" applyAlignment="1">
      <alignment vertical="top" wrapText="1"/>
    </xf>
    <xf numFmtId="44" fontId="21" fillId="2" borderId="16" xfId="6" applyFont="1" applyFill="1" applyBorder="1" applyAlignment="1">
      <alignment horizontal="right"/>
    </xf>
    <xf numFmtId="44" fontId="18" fillId="2" borderId="16" xfId="6" applyFont="1" applyFill="1" applyBorder="1" applyAlignment="1">
      <alignment horizontal="right"/>
    </xf>
    <xf numFmtId="44" fontId="18" fillId="2" borderId="16" xfId="6" applyFont="1" applyFill="1" applyBorder="1" applyAlignment="1" applyProtection="1">
      <alignment horizontal="right"/>
      <protection locked="0"/>
    </xf>
    <xf numFmtId="44" fontId="18" fillId="2" borderId="15" xfId="6" applyFont="1" applyFill="1" applyBorder="1" applyAlignment="1" applyProtection="1">
      <alignment horizontal="right"/>
      <protection locked="0"/>
    </xf>
    <xf numFmtId="44" fontId="18" fillId="2" borderId="15" xfId="6" applyFont="1" applyFill="1" applyBorder="1" applyAlignment="1">
      <alignment horizontal="right"/>
    </xf>
    <xf numFmtId="0" fontId="24" fillId="5" borderId="0" xfId="0" applyNumberFormat="1" applyFont="1" applyFill="1" applyBorder="1" applyAlignment="1" applyProtection="1"/>
    <xf numFmtId="0" fontId="29" fillId="5" borderId="0" xfId="0" applyNumberFormat="1" applyFont="1" applyFill="1" applyBorder="1" applyAlignment="1" applyProtection="1">
      <alignment horizontal="center"/>
      <protection locked="0"/>
    </xf>
    <xf numFmtId="0" fontId="29" fillId="5" borderId="0" xfId="0" applyNumberFormat="1" applyFont="1" applyFill="1" applyBorder="1" applyAlignment="1" applyProtection="1">
      <alignment horizontal="right"/>
    </xf>
    <xf numFmtId="0" fontId="29" fillId="5" borderId="0" xfId="0" applyNumberFormat="1" applyFont="1" applyFill="1" applyBorder="1" applyAlignment="1" applyProtection="1">
      <alignment horizontal="center"/>
    </xf>
    <xf numFmtId="0" fontId="25" fillId="5" borderId="0" xfId="0" applyNumberFormat="1" applyFont="1" applyFill="1" applyBorder="1" applyAlignment="1" applyProtection="1">
      <alignment horizontal="centerContinuous"/>
    </xf>
    <xf numFmtId="0" fontId="28" fillId="5" borderId="0" xfId="0" applyNumberFormat="1" applyFont="1" applyFill="1" applyBorder="1" applyAlignment="1" applyProtection="1">
      <alignment horizontal="center" vertical="center"/>
    </xf>
    <xf numFmtId="0" fontId="24" fillId="5" borderId="0" xfId="0" applyNumberFormat="1" applyFont="1" applyFill="1" applyBorder="1" applyAlignment="1" applyProtection="1">
      <alignment horizontal="center"/>
    </xf>
    <xf numFmtId="0" fontId="24" fillId="5" borderId="32" xfId="0" applyNumberFormat="1" applyFont="1" applyFill="1" applyBorder="1" applyAlignment="1" applyProtection="1">
      <protection locked="0"/>
    </xf>
    <xf numFmtId="0" fontId="24" fillId="5" borderId="0" xfId="0" applyNumberFormat="1" applyFont="1" applyFill="1" applyBorder="1" applyAlignment="1" applyProtection="1">
      <protection locked="0"/>
    </xf>
    <xf numFmtId="0" fontId="29" fillId="5" borderId="0" xfId="0" applyNumberFormat="1" applyFont="1" applyFill="1" applyBorder="1" applyAlignment="1" applyProtection="1">
      <alignment vertical="center"/>
      <protection locked="0"/>
    </xf>
    <xf numFmtId="0" fontId="17" fillId="2" borderId="13" xfId="0" applyFont="1" applyFill="1" applyBorder="1" applyAlignment="1">
      <alignment horizontal="center" vertical="center"/>
    </xf>
    <xf numFmtId="14" fontId="17" fillId="2" borderId="13" xfId="7" applyNumberFormat="1" applyFont="1" applyFill="1" applyBorder="1" applyAlignment="1">
      <alignment horizontal="center" vertical="center"/>
    </xf>
    <xf numFmtId="168" fontId="17" fillId="2" borderId="13" xfId="0" applyNumberFormat="1" applyFont="1" applyFill="1" applyBorder="1" applyAlignment="1">
      <alignment horizontal="center" vertical="center"/>
    </xf>
    <xf numFmtId="14" fontId="17" fillId="2" borderId="13" xfId="0" applyNumberFormat="1" applyFont="1" applyFill="1" applyBorder="1" applyAlignment="1">
      <alignment horizontal="center" vertical="center"/>
    </xf>
    <xf numFmtId="14" fontId="17" fillId="2" borderId="13" xfId="0" applyNumberFormat="1" applyFont="1" applyFill="1" applyBorder="1" applyAlignment="1">
      <alignment horizontal="center" vertical="center" wrapText="1"/>
    </xf>
    <xf numFmtId="1" fontId="17" fillId="2" borderId="13" xfId="0" applyNumberFormat="1" applyFont="1" applyFill="1" applyBorder="1" applyAlignment="1">
      <alignment horizontal="center" vertical="center" wrapText="1"/>
    </xf>
    <xf numFmtId="14" fontId="17" fillId="2" borderId="13" xfId="7" applyNumberFormat="1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 wrapText="1"/>
    </xf>
    <xf numFmtId="1" fontId="17" fillId="2" borderId="13" xfId="7" applyNumberFormat="1" applyFont="1" applyFill="1" applyBorder="1" applyAlignment="1">
      <alignment horizontal="center" vertical="center" wrapText="1"/>
    </xf>
    <xf numFmtId="168" fontId="17" fillId="2" borderId="13" xfId="0" applyNumberFormat="1" applyFont="1" applyFill="1" applyBorder="1" applyAlignment="1">
      <alignment horizontal="center" vertical="center" wrapText="1"/>
    </xf>
    <xf numFmtId="49" fontId="17" fillId="2" borderId="13" xfId="7" applyNumberFormat="1" applyFont="1" applyFill="1" applyBorder="1" applyAlignment="1">
      <alignment horizontal="center" vertical="center"/>
    </xf>
    <xf numFmtId="49" fontId="17" fillId="2" borderId="13" xfId="0" applyNumberFormat="1" applyFont="1" applyFill="1" applyBorder="1" applyAlignment="1">
      <alignment horizontal="center" vertical="center" wrapText="1"/>
    </xf>
    <xf numFmtId="0" fontId="17" fillId="2" borderId="13" xfId="0" applyNumberFormat="1" applyFont="1" applyFill="1" applyBorder="1" applyAlignment="1">
      <alignment horizontal="center" vertical="center" wrapText="1"/>
    </xf>
    <xf numFmtId="0" fontId="28" fillId="2" borderId="13" xfId="0" applyFont="1" applyFill="1" applyBorder="1" applyAlignment="1">
      <alignment horizontal="center" vertical="center"/>
    </xf>
    <xf numFmtId="14" fontId="28" fillId="2" borderId="13" xfId="7" applyNumberFormat="1" applyFont="1" applyFill="1" applyBorder="1" applyAlignment="1">
      <alignment horizontal="center" vertical="center"/>
    </xf>
    <xf numFmtId="168" fontId="28" fillId="2" borderId="13" xfId="0" applyNumberFormat="1" applyFont="1" applyFill="1" applyBorder="1" applyAlignment="1">
      <alignment horizontal="center" vertical="center"/>
    </xf>
    <xf numFmtId="0" fontId="28" fillId="2" borderId="13" xfId="0" applyFont="1" applyFill="1" applyBorder="1" applyAlignment="1">
      <alignment horizontal="center" vertical="center" wrapText="1"/>
    </xf>
    <xf numFmtId="14" fontId="28" fillId="2" borderId="13" xfId="0" applyNumberFormat="1" applyFont="1" applyFill="1" applyBorder="1" applyAlignment="1">
      <alignment horizontal="center" vertical="center" wrapText="1"/>
    </xf>
    <xf numFmtId="0" fontId="17" fillId="2" borderId="15" xfId="0" applyFont="1" applyFill="1" applyBorder="1" applyAlignment="1">
      <alignment horizontal="center" vertical="center"/>
    </xf>
    <xf numFmtId="14" fontId="17" fillId="2" borderId="15" xfId="7" applyNumberFormat="1" applyFont="1" applyFill="1" applyBorder="1" applyAlignment="1">
      <alignment horizontal="center" vertical="center"/>
    </xf>
    <xf numFmtId="168" fontId="17" fillId="2" borderId="15" xfId="0" applyNumberFormat="1" applyFont="1" applyFill="1" applyBorder="1" applyAlignment="1">
      <alignment horizontal="center" vertical="center"/>
    </xf>
    <xf numFmtId="14" fontId="17" fillId="2" borderId="15" xfId="0" applyNumberFormat="1" applyFont="1" applyFill="1" applyBorder="1" applyAlignment="1">
      <alignment horizontal="center" vertical="center"/>
    </xf>
    <xf numFmtId="14" fontId="17" fillId="2" borderId="15" xfId="0" applyNumberFormat="1" applyFont="1" applyFill="1" applyBorder="1" applyAlignment="1">
      <alignment horizontal="center" vertical="center" wrapText="1"/>
    </xf>
    <xf numFmtId="49" fontId="17" fillId="2" borderId="13" xfId="0" applyNumberFormat="1" applyFont="1" applyFill="1" applyBorder="1" applyAlignment="1">
      <alignment horizontal="center" vertical="center"/>
    </xf>
    <xf numFmtId="0" fontId="45" fillId="0" borderId="0" xfId="0" applyFont="1"/>
    <xf numFmtId="169" fontId="17" fillId="2" borderId="13" xfId="0" applyNumberFormat="1" applyFont="1" applyFill="1" applyBorder="1" applyAlignment="1">
      <alignment horizontal="center" vertical="center"/>
    </xf>
    <xf numFmtId="169" fontId="17" fillId="2" borderId="13" xfId="6" applyNumberFormat="1" applyFont="1" applyFill="1" applyBorder="1" applyAlignment="1">
      <alignment horizontal="center" vertical="center"/>
    </xf>
    <xf numFmtId="0" fontId="17" fillId="2" borderId="13" xfId="7" applyFont="1" applyFill="1" applyBorder="1" applyAlignment="1">
      <alignment horizontal="center" vertical="center" wrapText="1"/>
    </xf>
    <xf numFmtId="169" fontId="17" fillId="2" borderId="13" xfId="7" applyNumberFormat="1" applyFont="1" applyFill="1" applyBorder="1" applyAlignment="1">
      <alignment horizontal="center" vertical="center"/>
    </xf>
    <xf numFmtId="0" fontId="17" fillId="2" borderId="9" xfId="7" applyFont="1" applyFill="1" applyBorder="1" applyAlignment="1">
      <alignment horizontal="center" vertical="center" wrapText="1"/>
    </xf>
    <xf numFmtId="169" fontId="17" fillId="2" borderId="13" xfId="7" applyNumberFormat="1" applyFont="1" applyFill="1" applyBorder="1" applyAlignment="1">
      <alignment horizontal="center" vertical="center" wrapText="1"/>
    </xf>
    <xf numFmtId="169" fontId="17" fillId="2" borderId="13" xfId="0" applyNumberFormat="1" applyFont="1" applyFill="1" applyBorder="1" applyAlignment="1">
      <alignment horizontal="center" vertical="center" wrapText="1"/>
    </xf>
    <xf numFmtId="169" fontId="17" fillId="2" borderId="13" xfId="6" applyNumberFormat="1" applyFont="1" applyFill="1" applyBorder="1" applyAlignment="1">
      <alignment horizontal="center" vertical="center" wrapText="1"/>
    </xf>
    <xf numFmtId="169" fontId="28" fillId="2" borderId="13" xfId="6" applyNumberFormat="1" applyFont="1" applyFill="1" applyBorder="1" applyAlignment="1">
      <alignment horizontal="center" vertical="center" wrapText="1"/>
    </xf>
    <xf numFmtId="0" fontId="17" fillId="2" borderId="15" xfId="0" applyFont="1" applyFill="1" applyBorder="1" applyAlignment="1">
      <alignment horizontal="center" vertical="center" wrapText="1"/>
    </xf>
    <xf numFmtId="169" fontId="17" fillId="2" borderId="15" xfId="0" applyNumberFormat="1" applyFont="1" applyFill="1" applyBorder="1" applyAlignment="1">
      <alignment horizontal="center" vertical="center"/>
    </xf>
    <xf numFmtId="0" fontId="28" fillId="2" borderId="13" xfId="0" applyFont="1" applyFill="1" applyBorder="1" applyAlignment="1">
      <alignment horizontal="center" vertical="top" wrapText="1"/>
    </xf>
    <xf numFmtId="0" fontId="17" fillId="2" borderId="9" xfId="0" applyFont="1" applyFill="1" applyBorder="1" applyAlignment="1">
      <alignment horizontal="center" vertical="center" wrapText="1"/>
    </xf>
    <xf numFmtId="169" fontId="28" fillId="2" borderId="13" xfId="8" applyNumberFormat="1" applyFont="1" applyFill="1" applyBorder="1" applyAlignment="1">
      <alignment horizontal="center" vertical="center" wrapText="1"/>
    </xf>
    <xf numFmtId="169" fontId="28" fillId="2" borderId="13" xfId="8" applyNumberFormat="1" applyFont="1" applyFill="1" applyBorder="1" applyAlignment="1">
      <alignment horizontal="center" vertical="center"/>
    </xf>
    <xf numFmtId="0" fontId="28" fillId="2" borderId="13" xfId="7" applyFont="1" applyFill="1" applyBorder="1" applyAlignment="1">
      <alignment horizontal="center" vertical="center" wrapText="1"/>
    </xf>
    <xf numFmtId="169" fontId="28" fillId="2" borderId="13" xfId="0" applyNumberFormat="1" applyFont="1" applyFill="1" applyBorder="1" applyAlignment="1">
      <alignment horizontal="center" vertical="center" wrapText="1"/>
    </xf>
    <xf numFmtId="49" fontId="28" fillId="2" borderId="13" xfId="0" applyNumberFormat="1" applyFont="1" applyFill="1" applyBorder="1" applyAlignment="1">
      <alignment horizontal="center" vertical="center" wrapText="1"/>
    </xf>
    <xf numFmtId="169" fontId="17" fillId="2" borderId="13" xfId="8" applyNumberFormat="1" applyFont="1" applyFill="1" applyBorder="1" applyAlignment="1">
      <alignment horizontal="center" vertical="center" wrapText="1"/>
    </xf>
    <xf numFmtId="0" fontId="7" fillId="5" borderId="34" xfId="0" applyNumberFormat="1" applyFont="1" applyFill="1" applyBorder="1" applyAlignment="1" applyProtection="1">
      <alignment horizontal="center" vertical="top" wrapText="1"/>
      <protection locked="0"/>
    </xf>
    <xf numFmtId="0" fontId="41" fillId="0" borderId="0" xfId="0" applyFont="1" applyAlignment="1">
      <alignment horizontal="center" vertical="center"/>
    </xf>
    <xf numFmtId="0" fontId="5" fillId="3" borderId="2" xfId="3" applyFont="1" applyFill="1" applyBorder="1" applyAlignment="1" applyProtection="1">
      <alignment horizontal="center" vertical="center"/>
    </xf>
    <xf numFmtId="0" fontId="5" fillId="3" borderId="5" xfId="3" applyFont="1" applyFill="1" applyBorder="1" applyAlignment="1" applyProtection="1">
      <alignment horizontal="center" vertical="center"/>
    </xf>
    <xf numFmtId="0" fontId="6" fillId="3" borderId="3" xfId="3" applyFont="1" applyFill="1" applyBorder="1" applyAlignment="1" applyProtection="1">
      <alignment horizontal="center" vertical="center"/>
    </xf>
    <xf numFmtId="0" fontId="6" fillId="3" borderId="0" xfId="3" applyFont="1" applyFill="1" applyBorder="1" applyAlignment="1" applyProtection="1">
      <alignment horizontal="center" vertical="center"/>
    </xf>
    <xf numFmtId="0" fontId="6" fillId="3" borderId="3" xfId="3" applyFont="1" applyFill="1" applyBorder="1" applyAlignment="1" applyProtection="1">
      <alignment horizontal="right" vertical="top"/>
    </xf>
    <xf numFmtId="0" fontId="6" fillId="3" borderId="0" xfId="3" applyFont="1" applyFill="1" applyBorder="1" applyAlignment="1" applyProtection="1">
      <alignment horizontal="right" vertical="top"/>
    </xf>
    <xf numFmtId="0" fontId="3" fillId="2" borderId="0" xfId="0" applyFont="1" applyFill="1" applyBorder="1" applyAlignment="1" applyProtection="1">
      <alignment horizontal="center"/>
    </xf>
    <xf numFmtId="0" fontId="3" fillId="2" borderId="0" xfId="2" applyNumberFormat="1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/>
      <protection locked="0"/>
    </xf>
    <xf numFmtId="0" fontId="3" fillId="2" borderId="0" xfId="0" applyFont="1" applyFill="1" applyBorder="1" applyAlignment="1" applyProtection="1">
      <alignment horizontal="left" vertical="top" wrapText="1"/>
    </xf>
    <xf numFmtId="0" fontId="8" fillId="2" borderId="0" xfId="0" applyFont="1" applyFill="1" applyBorder="1" applyAlignment="1" applyProtection="1">
      <alignment horizontal="left" vertical="top" wrapText="1"/>
    </xf>
    <xf numFmtId="0" fontId="7" fillId="2" borderId="0" xfId="0" applyFont="1" applyFill="1" applyBorder="1" applyAlignment="1" applyProtection="1">
      <alignment horizontal="left" vertical="top" wrapText="1"/>
    </xf>
    <xf numFmtId="0" fontId="7" fillId="2" borderId="0" xfId="0" applyFont="1" applyFill="1" applyBorder="1" applyAlignment="1" applyProtection="1">
      <alignment horizontal="center" vertical="top" wrapText="1"/>
      <protection locked="0"/>
    </xf>
    <xf numFmtId="0" fontId="7" fillId="2" borderId="0" xfId="0" applyFont="1" applyFill="1" applyBorder="1" applyAlignment="1" applyProtection="1">
      <alignment horizontal="left" vertical="top"/>
    </xf>
    <xf numFmtId="0" fontId="2" fillId="2" borderId="3" xfId="0" applyFont="1" applyFill="1" applyBorder="1" applyAlignment="1" applyProtection="1">
      <alignment horizontal="center"/>
      <protection locked="0"/>
    </xf>
    <xf numFmtId="0" fontId="6" fillId="3" borderId="10" xfId="3" applyFont="1" applyFill="1" applyBorder="1" applyAlignment="1">
      <alignment horizontal="center" vertical="center"/>
    </xf>
    <xf numFmtId="0" fontId="3" fillId="2" borderId="0" xfId="3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3" fillId="2" borderId="0" xfId="0" applyFont="1" applyFill="1" applyBorder="1" applyAlignment="1">
      <alignment vertical="top" wrapText="1"/>
    </xf>
    <xf numFmtId="0" fontId="3" fillId="2" borderId="0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vertical="top" wrapText="1"/>
    </xf>
    <xf numFmtId="0" fontId="7" fillId="2" borderId="0" xfId="0" applyFont="1" applyFill="1" applyBorder="1" applyAlignment="1">
      <alignment horizontal="left" vertical="top"/>
    </xf>
    <xf numFmtId="0" fontId="7" fillId="2" borderId="1" xfId="0" applyFont="1" applyFill="1" applyBorder="1" applyAlignment="1" applyProtection="1">
      <alignment horizontal="center"/>
      <protection locked="0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>
      <alignment horizontal="center"/>
    </xf>
    <xf numFmtId="0" fontId="7" fillId="2" borderId="0" xfId="0" applyNumberFormat="1" applyFont="1" applyFill="1" applyBorder="1" applyAlignment="1" applyProtection="1">
      <alignment horizontal="left"/>
    </xf>
    <xf numFmtId="0" fontId="9" fillId="2" borderId="0" xfId="0" applyFont="1" applyFill="1" applyBorder="1" applyAlignment="1">
      <alignment horizontal="left" vertical="top" wrapText="1"/>
    </xf>
    <xf numFmtId="0" fontId="3" fillId="2" borderId="12" xfId="0" applyFont="1" applyFill="1" applyBorder="1" applyAlignment="1">
      <alignment horizontal="left" vertical="top"/>
    </xf>
    <xf numFmtId="0" fontId="7" fillId="2" borderId="0" xfId="0" applyFont="1" applyFill="1" applyBorder="1" applyAlignment="1" applyProtection="1">
      <alignment horizontal="center" vertical="top"/>
      <protection locked="0"/>
    </xf>
    <xf numFmtId="0" fontId="3" fillId="2" borderId="1" xfId="0" applyFont="1" applyFill="1" applyBorder="1" applyAlignment="1">
      <alignment horizontal="left" vertical="top"/>
    </xf>
    <xf numFmtId="0" fontId="6" fillId="3" borderId="9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3" fillId="2" borderId="5" xfId="3" applyFont="1" applyFill="1" applyBorder="1" applyAlignment="1">
      <alignment horizontal="left" vertical="top"/>
    </xf>
    <xf numFmtId="0" fontId="3" fillId="2" borderId="0" xfId="3" applyFont="1" applyFill="1" applyBorder="1" applyAlignment="1">
      <alignment horizontal="left" vertical="top"/>
    </xf>
    <xf numFmtId="0" fontId="7" fillId="2" borderId="0" xfId="3" applyFont="1" applyFill="1" applyBorder="1" applyAlignment="1">
      <alignment horizontal="left" vertical="top" wrapText="1"/>
    </xf>
    <xf numFmtId="0" fontId="7" fillId="2" borderId="0" xfId="3" applyFont="1" applyFill="1" applyBorder="1" applyAlignment="1">
      <alignment horizontal="left" vertical="top"/>
    </xf>
    <xf numFmtId="0" fontId="3" fillId="2" borderId="0" xfId="3" applyFont="1" applyFill="1" applyBorder="1" applyAlignment="1">
      <alignment horizontal="left" vertical="top" wrapText="1"/>
    </xf>
    <xf numFmtId="43" fontId="7" fillId="2" borderId="1" xfId="1" applyFont="1" applyFill="1" applyBorder="1" applyAlignment="1" applyProtection="1">
      <alignment horizontal="center"/>
      <protection locked="0"/>
    </xf>
    <xf numFmtId="0" fontId="2" fillId="2" borderId="1" xfId="0" applyFont="1" applyFill="1" applyBorder="1" applyAlignment="1" applyProtection="1">
      <alignment horizontal="center"/>
      <protection locked="0"/>
    </xf>
    <xf numFmtId="0" fontId="2" fillId="2" borderId="0" xfId="0" applyFont="1" applyFill="1" applyBorder="1" applyAlignment="1">
      <alignment horizontal="left" vertical="top"/>
    </xf>
    <xf numFmtId="0" fontId="9" fillId="2" borderId="0" xfId="0" applyFont="1" applyFill="1" applyBorder="1" applyAlignment="1">
      <alignment horizontal="left" vertical="top"/>
    </xf>
    <xf numFmtId="0" fontId="2" fillId="2" borderId="7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/>
    </xf>
    <xf numFmtId="0" fontId="2" fillId="2" borderId="8" xfId="0" applyFont="1" applyFill="1" applyBorder="1" applyAlignment="1">
      <alignment horizontal="center" vertical="top"/>
    </xf>
    <xf numFmtId="0" fontId="7" fillId="2" borderId="1" xfId="0" applyFont="1" applyFill="1" applyBorder="1" applyAlignment="1" applyProtection="1">
      <alignment horizontal="center" vertical="top"/>
      <protection locked="0"/>
    </xf>
    <xf numFmtId="0" fontId="3" fillId="2" borderId="0" xfId="2" applyNumberFormat="1" applyFont="1" applyFill="1" applyBorder="1" applyAlignment="1">
      <alignment horizontal="center" vertical="center"/>
    </xf>
    <xf numFmtId="0" fontId="6" fillId="3" borderId="3" xfId="3" applyFont="1" applyFill="1" applyBorder="1" applyAlignment="1">
      <alignment horizontal="center" vertical="center" wrapText="1"/>
    </xf>
    <xf numFmtId="0" fontId="6" fillId="3" borderId="1" xfId="3" applyFont="1" applyFill="1" applyBorder="1" applyAlignment="1">
      <alignment horizontal="center" vertical="center" wrapText="1"/>
    </xf>
    <xf numFmtId="0" fontId="3" fillId="2" borderId="5" xfId="2" applyNumberFormat="1" applyFont="1" applyFill="1" applyBorder="1" applyAlignment="1">
      <alignment horizontal="center" vertical="center"/>
    </xf>
    <xf numFmtId="0" fontId="3" fillId="2" borderId="6" xfId="2" applyNumberFormat="1" applyFont="1" applyFill="1" applyBorder="1" applyAlignment="1">
      <alignment horizontal="center" vertical="center"/>
    </xf>
    <xf numFmtId="0" fontId="3" fillId="2" borderId="5" xfId="2" applyNumberFormat="1" applyFont="1" applyFill="1" applyBorder="1" applyAlignment="1">
      <alignment horizontal="center" vertical="top"/>
    </xf>
    <xf numFmtId="0" fontId="3" fillId="2" borderId="0" xfId="2" applyNumberFormat="1" applyFont="1" applyFill="1" applyBorder="1" applyAlignment="1">
      <alignment horizontal="center" vertical="top"/>
    </xf>
    <xf numFmtId="0" fontId="3" fillId="2" borderId="6" xfId="2" applyNumberFormat="1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8" fillId="2" borderId="0" xfId="0" applyFont="1" applyFill="1" applyBorder="1" applyAlignment="1" applyProtection="1">
      <alignment horizontal="left" vertical="top"/>
    </xf>
    <xf numFmtId="0" fontId="3" fillId="2" borderId="0" xfId="0" applyFont="1" applyFill="1" applyBorder="1" applyAlignment="1" applyProtection="1">
      <alignment horizontal="left" vertical="top"/>
    </xf>
    <xf numFmtId="0" fontId="8" fillId="2" borderId="1" xfId="0" applyFont="1" applyFill="1" applyBorder="1" applyAlignment="1" applyProtection="1">
      <alignment horizontal="left" vertical="top"/>
    </xf>
    <xf numFmtId="0" fontId="3" fillId="2" borderId="0" xfId="0" applyFont="1" applyFill="1" applyBorder="1" applyAlignment="1" applyProtection="1">
      <alignment horizontal="center" vertical="top"/>
    </xf>
    <xf numFmtId="0" fontId="6" fillId="3" borderId="10" xfId="3" applyFont="1" applyFill="1" applyBorder="1" applyAlignment="1" applyProtection="1">
      <alignment horizontal="center" vertical="center"/>
    </xf>
    <xf numFmtId="0" fontId="3" fillId="2" borderId="6" xfId="2" applyNumberFormat="1" applyFont="1" applyFill="1" applyBorder="1" applyAlignment="1" applyProtection="1">
      <alignment horizontal="center" vertical="center"/>
    </xf>
    <xf numFmtId="0" fontId="3" fillId="2" borderId="0" xfId="2" applyNumberFormat="1" applyFont="1" applyFill="1" applyBorder="1" applyAlignment="1" applyProtection="1">
      <alignment horizontal="center" vertical="top"/>
    </xf>
    <xf numFmtId="0" fontId="3" fillId="2" borderId="6" xfId="2" applyNumberFormat="1" applyFont="1" applyFill="1" applyBorder="1" applyAlignment="1" applyProtection="1">
      <alignment horizontal="center" vertical="top"/>
    </xf>
    <xf numFmtId="0" fontId="3" fillId="2" borderId="0" xfId="3" applyFont="1" applyFill="1" applyBorder="1" applyAlignment="1" applyProtection="1">
      <alignment horizontal="center"/>
    </xf>
    <xf numFmtId="0" fontId="7" fillId="2" borderId="1" xfId="0" applyFont="1" applyFill="1" applyBorder="1" applyAlignment="1">
      <alignment horizontal="left" vertical="top" wrapText="1"/>
    </xf>
    <xf numFmtId="0" fontId="28" fillId="2" borderId="0" xfId="0" applyFont="1" applyFill="1" applyAlignment="1">
      <alignment horizontal="left" vertical="top" wrapText="1"/>
    </xf>
    <xf numFmtId="0" fontId="26" fillId="2" borderId="0" xfId="0" applyFont="1" applyFill="1" applyBorder="1" applyAlignment="1">
      <alignment horizontal="left" vertical="center" wrapText="1"/>
    </xf>
    <xf numFmtId="0" fontId="26" fillId="2" borderId="6" xfId="0" applyFont="1" applyFill="1" applyBorder="1" applyAlignment="1">
      <alignment horizontal="left" vertical="center" wrapText="1"/>
    </xf>
    <xf numFmtId="44" fontId="25" fillId="2" borderId="14" xfId="6" applyFont="1" applyFill="1" applyBorder="1" applyAlignment="1"/>
    <xf numFmtId="44" fontId="25" fillId="2" borderId="15" xfId="6" applyFont="1" applyFill="1" applyBorder="1" applyAlignment="1"/>
    <xf numFmtId="44" fontId="29" fillId="0" borderId="9" xfId="6" applyFont="1" applyBorder="1" applyAlignment="1">
      <alignment horizontal="center" vertical="top" wrapText="1"/>
    </xf>
    <xf numFmtId="44" fontId="29" fillId="0" borderId="11" xfId="6" applyFont="1" applyBorder="1" applyAlignment="1">
      <alignment horizontal="center" vertical="top" wrapText="1"/>
    </xf>
    <xf numFmtId="0" fontId="19" fillId="2" borderId="5" xfId="0" applyFont="1" applyFill="1" applyBorder="1" applyAlignment="1">
      <alignment horizontal="left" vertical="center" wrapText="1"/>
    </xf>
    <xf numFmtId="0" fontId="19" fillId="2" borderId="0" xfId="0" applyFont="1" applyFill="1" applyBorder="1" applyAlignment="1">
      <alignment horizontal="left" vertical="center" wrapText="1"/>
    </xf>
    <xf numFmtId="0" fontId="19" fillId="2" borderId="6" xfId="0" applyFont="1" applyFill="1" applyBorder="1" applyAlignment="1">
      <alignment horizontal="left" vertical="center" wrapText="1"/>
    </xf>
    <xf numFmtId="44" fontId="21" fillId="2" borderId="14" xfId="6" applyFont="1" applyFill="1" applyBorder="1" applyAlignment="1">
      <alignment horizontal="right"/>
    </xf>
    <xf numFmtId="44" fontId="21" fillId="2" borderId="15" xfId="6" applyFont="1" applyFill="1" applyBorder="1" applyAlignment="1">
      <alignment horizontal="right"/>
    </xf>
    <xf numFmtId="44" fontId="3" fillId="0" borderId="9" xfId="6" applyFont="1" applyBorder="1" applyAlignment="1">
      <alignment horizontal="center" vertical="top" wrapText="1"/>
    </xf>
    <xf numFmtId="44" fontId="3" fillId="0" borderId="11" xfId="6" applyFont="1" applyBorder="1" applyAlignment="1">
      <alignment horizontal="center" vertical="top" wrapText="1"/>
    </xf>
    <xf numFmtId="37" fontId="6" fillId="3" borderId="0" xfId="1" applyNumberFormat="1" applyFont="1" applyFill="1" applyBorder="1" applyAlignment="1" applyProtection="1">
      <alignment horizontal="center" vertical="center" wrapText="1"/>
    </xf>
    <xf numFmtId="37" fontId="6" fillId="3" borderId="0" xfId="1" applyNumberFormat="1" applyFont="1" applyFill="1" applyBorder="1" applyAlignment="1" applyProtection="1">
      <alignment horizontal="center" vertical="center"/>
    </xf>
    <xf numFmtId="37" fontId="6" fillId="3" borderId="1" xfId="1" applyNumberFormat="1" applyFont="1" applyFill="1" applyBorder="1" applyAlignment="1" applyProtection="1">
      <alignment horizontal="center" vertical="center"/>
    </xf>
    <xf numFmtId="44" fontId="6" fillId="3" borderId="9" xfId="6" applyFont="1" applyFill="1" applyBorder="1" applyAlignment="1" applyProtection="1">
      <alignment horizontal="center"/>
    </xf>
    <xf numFmtId="44" fontId="6" fillId="3" borderId="10" xfId="6" applyFont="1" applyFill="1" applyBorder="1" applyAlignment="1" applyProtection="1">
      <alignment horizontal="center"/>
    </xf>
    <xf numFmtId="44" fontId="6" fillId="3" borderId="11" xfId="6" applyFont="1" applyFill="1" applyBorder="1" applyAlignment="1" applyProtection="1">
      <alignment horizontal="center"/>
    </xf>
    <xf numFmtId="44" fontId="6" fillId="3" borderId="13" xfId="6" applyFont="1" applyFill="1" applyBorder="1" applyAlignment="1" applyProtection="1">
      <alignment horizontal="center" vertical="center" wrapText="1"/>
    </xf>
    <xf numFmtId="37" fontId="6" fillId="3" borderId="2" xfId="1" applyNumberFormat="1" applyFont="1" applyFill="1" applyBorder="1" applyAlignment="1" applyProtection="1">
      <alignment horizontal="center"/>
    </xf>
    <xf numFmtId="37" fontId="6" fillId="3" borderId="3" xfId="1" applyNumberFormat="1" applyFont="1" applyFill="1" applyBorder="1" applyAlignment="1" applyProtection="1">
      <alignment horizontal="center"/>
    </xf>
    <xf numFmtId="37" fontId="6" fillId="3" borderId="4" xfId="1" applyNumberFormat="1" applyFont="1" applyFill="1" applyBorder="1" applyAlignment="1" applyProtection="1">
      <alignment horizontal="center"/>
    </xf>
    <xf numFmtId="37" fontId="6" fillId="3" borderId="5" xfId="1" applyNumberFormat="1" applyFont="1" applyFill="1" applyBorder="1" applyAlignment="1" applyProtection="1">
      <alignment horizontal="center"/>
      <protection locked="0"/>
    </xf>
    <xf numFmtId="37" fontId="6" fillId="3" borderId="0" xfId="1" applyNumberFormat="1" applyFont="1" applyFill="1" applyBorder="1" applyAlignment="1" applyProtection="1">
      <alignment horizontal="center"/>
      <protection locked="0"/>
    </xf>
    <xf numFmtId="37" fontId="6" fillId="3" borderId="6" xfId="1" applyNumberFormat="1" applyFont="1" applyFill="1" applyBorder="1" applyAlignment="1" applyProtection="1">
      <alignment horizontal="center"/>
      <protection locked="0"/>
    </xf>
    <xf numFmtId="37" fontId="6" fillId="3" borderId="5" xfId="1" applyNumberFormat="1" applyFont="1" applyFill="1" applyBorder="1" applyAlignment="1" applyProtection="1">
      <alignment horizontal="center"/>
    </xf>
    <xf numFmtId="37" fontId="6" fillId="3" borderId="0" xfId="1" applyNumberFormat="1" applyFont="1" applyFill="1" applyBorder="1" applyAlignment="1" applyProtection="1">
      <alignment horizontal="center"/>
    </xf>
    <xf numFmtId="37" fontId="6" fillId="3" borderId="6" xfId="1" applyNumberFormat="1" applyFont="1" applyFill="1" applyBorder="1" applyAlignment="1" applyProtection="1">
      <alignment horizontal="center"/>
    </xf>
    <xf numFmtId="37" fontId="6" fillId="3" borderId="7" xfId="1" applyNumberFormat="1" applyFont="1" applyFill="1" applyBorder="1" applyAlignment="1" applyProtection="1">
      <alignment horizontal="center"/>
    </xf>
    <xf numFmtId="37" fontId="6" fillId="3" borderId="1" xfId="1" applyNumberFormat="1" applyFont="1" applyFill="1" applyBorder="1" applyAlignment="1" applyProtection="1">
      <alignment horizontal="center"/>
    </xf>
    <xf numFmtId="37" fontId="6" fillId="3" borderId="8" xfId="1" applyNumberFormat="1" applyFont="1" applyFill="1" applyBorder="1" applyAlignment="1" applyProtection="1">
      <alignment horizontal="center"/>
    </xf>
    <xf numFmtId="37" fontId="6" fillId="3" borderId="9" xfId="1" applyNumberFormat="1" applyFont="1" applyFill="1" applyBorder="1" applyAlignment="1" applyProtection="1">
      <alignment horizontal="center"/>
    </xf>
    <xf numFmtId="37" fontId="6" fillId="3" borderId="10" xfId="1" applyNumberFormat="1" applyFont="1" applyFill="1" applyBorder="1" applyAlignment="1" applyProtection="1">
      <alignment horizontal="center"/>
    </xf>
    <xf numFmtId="37" fontId="6" fillId="3" borderId="11" xfId="1" applyNumberFormat="1" applyFont="1" applyFill="1" applyBorder="1" applyAlignment="1" applyProtection="1">
      <alignment horizontal="center"/>
    </xf>
    <xf numFmtId="37" fontId="6" fillId="3" borderId="13" xfId="1" applyNumberFormat="1" applyFont="1" applyFill="1" applyBorder="1" applyAlignment="1" applyProtection="1">
      <alignment horizontal="center" vertical="center" wrapText="1"/>
    </xf>
    <xf numFmtId="37" fontId="6" fillId="3" borderId="2" xfId="1" applyNumberFormat="1" applyFont="1" applyFill="1" applyBorder="1" applyAlignment="1" applyProtection="1">
      <alignment horizontal="center" vertical="center" wrapText="1"/>
    </xf>
    <xf numFmtId="37" fontId="6" fillId="3" borderId="4" xfId="1" applyNumberFormat="1" applyFont="1" applyFill="1" applyBorder="1" applyAlignment="1" applyProtection="1">
      <alignment horizontal="center" vertical="center"/>
    </xf>
    <xf numFmtId="37" fontId="6" fillId="3" borderId="5" xfId="1" applyNumberFormat="1" applyFont="1" applyFill="1" applyBorder="1" applyAlignment="1" applyProtection="1">
      <alignment horizontal="center" vertical="center"/>
    </xf>
    <xf numFmtId="37" fontId="6" fillId="3" borderId="6" xfId="1" applyNumberFormat="1" applyFont="1" applyFill="1" applyBorder="1" applyAlignment="1" applyProtection="1">
      <alignment horizontal="center" vertical="center"/>
    </xf>
    <xf numFmtId="37" fontId="6" fillId="3" borderId="7" xfId="1" applyNumberFormat="1" applyFont="1" applyFill="1" applyBorder="1" applyAlignment="1" applyProtection="1">
      <alignment horizontal="center" vertical="center"/>
    </xf>
    <xf numFmtId="37" fontId="6" fillId="3" borderId="8" xfId="1" applyNumberFormat="1" applyFont="1" applyFill="1" applyBorder="1" applyAlignment="1" applyProtection="1">
      <alignment horizontal="center" vertical="center"/>
    </xf>
    <xf numFmtId="0" fontId="16" fillId="2" borderId="5" xfId="0" applyFont="1" applyFill="1" applyBorder="1" applyAlignment="1">
      <alignment horizontal="left" vertical="center" wrapText="1" indent="1"/>
    </xf>
    <xf numFmtId="0" fontId="16" fillId="2" borderId="6" xfId="0" applyFont="1" applyFill="1" applyBorder="1" applyAlignment="1">
      <alignment horizontal="left" vertical="center" wrapText="1" indent="1"/>
    </xf>
    <xf numFmtId="165" fontId="33" fillId="3" borderId="2" xfId="1" applyNumberFormat="1" applyFont="1" applyFill="1" applyBorder="1" applyAlignment="1" applyProtection="1">
      <alignment horizontal="center" vertical="center"/>
    </xf>
    <xf numFmtId="165" fontId="33" fillId="3" borderId="3" xfId="1" applyNumberFormat="1" applyFont="1" applyFill="1" applyBorder="1" applyAlignment="1" applyProtection="1">
      <alignment horizontal="center" vertical="center"/>
    </xf>
    <xf numFmtId="165" fontId="33" fillId="3" borderId="4" xfId="1" applyNumberFormat="1" applyFont="1" applyFill="1" applyBorder="1" applyAlignment="1" applyProtection="1">
      <alignment horizontal="center" vertical="center"/>
    </xf>
    <xf numFmtId="165" fontId="33" fillId="3" borderId="5" xfId="1" applyNumberFormat="1" applyFont="1" applyFill="1" applyBorder="1" applyAlignment="1" applyProtection="1">
      <alignment horizontal="center" vertical="center"/>
      <protection locked="0"/>
    </xf>
    <xf numFmtId="165" fontId="33" fillId="3" borderId="0" xfId="1" applyNumberFormat="1" applyFont="1" applyFill="1" applyBorder="1" applyAlignment="1" applyProtection="1">
      <alignment horizontal="center" vertical="center"/>
      <protection locked="0"/>
    </xf>
    <xf numFmtId="165" fontId="33" fillId="3" borderId="6" xfId="1" applyNumberFormat="1" applyFont="1" applyFill="1" applyBorder="1" applyAlignment="1" applyProtection="1">
      <alignment horizontal="center" vertical="center"/>
      <protection locked="0"/>
    </xf>
    <xf numFmtId="165" fontId="33" fillId="3" borderId="5" xfId="1" applyNumberFormat="1" applyFont="1" applyFill="1" applyBorder="1" applyAlignment="1" applyProtection="1">
      <alignment horizontal="center" vertical="center"/>
    </xf>
    <xf numFmtId="165" fontId="33" fillId="3" borderId="0" xfId="1" applyNumberFormat="1" applyFont="1" applyFill="1" applyBorder="1" applyAlignment="1" applyProtection="1">
      <alignment horizontal="center" vertical="center"/>
    </xf>
    <xf numFmtId="165" fontId="33" fillId="3" borderId="6" xfId="1" applyNumberFormat="1" applyFont="1" applyFill="1" applyBorder="1" applyAlignment="1" applyProtection="1">
      <alignment horizontal="center" vertical="center"/>
    </xf>
    <xf numFmtId="165" fontId="33" fillId="3" borderId="7" xfId="1" applyNumberFormat="1" applyFont="1" applyFill="1" applyBorder="1" applyAlignment="1" applyProtection="1">
      <alignment horizontal="center" vertical="center"/>
    </xf>
    <xf numFmtId="165" fontId="33" fillId="3" borderId="1" xfId="1" applyNumberFormat="1" applyFont="1" applyFill="1" applyBorder="1" applyAlignment="1" applyProtection="1">
      <alignment horizontal="center" vertical="center"/>
    </xf>
    <xf numFmtId="165" fontId="33" fillId="3" borderId="8" xfId="1" applyNumberFormat="1" applyFont="1" applyFill="1" applyBorder="1" applyAlignment="1" applyProtection="1">
      <alignment horizontal="center" vertical="center"/>
    </xf>
    <xf numFmtId="165" fontId="6" fillId="3" borderId="2" xfId="1" applyNumberFormat="1" applyFont="1" applyFill="1" applyBorder="1" applyAlignment="1" applyProtection="1">
      <alignment horizontal="left" vertical="center"/>
    </xf>
    <xf numFmtId="165" fontId="6" fillId="3" borderId="4" xfId="1" applyNumberFormat="1" applyFont="1" applyFill="1" applyBorder="1" applyAlignment="1" applyProtection="1">
      <alignment horizontal="left" vertical="center"/>
    </xf>
    <xf numFmtId="165" fontId="6" fillId="3" borderId="5" xfId="1" applyNumberFormat="1" applyFont="1" applyFill="1" applyBorder="1" applyAlignment="1" applyProtection="1">
      <alignment horizontal="left" vertical="center"/>
    </xf>
    <xf numFmtId="165" fontId="6" fillId="3" borderId="6" xfId="1" applyNumberFormat="1" applyFont="1" applyFill="1" applyBorder="1" applyAlignment="1" applyProtection="1">
      <alignment horizontal="left" vertical="center"/>
    </xf>
    <xf numFmtId="165" fontId="6" fillId="3" borderId="7" xfId="1" applyNumberFormat="1" applyFont="1" applyFill="1" applyBorder="1" applyAlignment="1" applyProtection="1">
      <alignment horizontal="left" vertical="center"/>
    </xf>
    <xf numFmtId="165" fontId="6" fillId="3" borderId="8" xfId="1" applyNumberFormat="1" applyFont="1" applyFill="1" applyBorder="1" applyAlignment="1" applyProtection="1">
      <alignment horizontal="left" vertical="center"/>
    </xf>
    <xf numFmtId="165" fontId="6" fillId="3" borderId="9" xfId="1" applyNumberFormat="1" applyFont="1" applyFill="1" applyBorder="1" applyAlignment="1" applyProtection="1">
      <alignment horizontal="center" vertical="center"/>
    </xf>
    <xf numFmtId="165" fontId="6" fillId="3" borderId="10" xfId="1" applyNumberFormat="1" applyFont="1" applyFill="1" applyBorder="1" applyAlignment="1" applyProtection="1">
      <alignment horizontal="center" vertical="center"/>
    </xf>
    <xf numFmtId="165" fontId="6" fillId="3" borderId="11" xfId="1" applyNumberFormat="1" applyFont="1" applyFill="1" applyBorder="1" applyAlignment="1" applyProtection="1">
      <alignment horizontal="center" vertical="center"/>
    </xf>
    <xf numFmtId="165" fontId="6" fillId="3" borderId="2" xfId="1" applyNumberFormat="1" applyFont="1" applyFill="1" applyBorder="1" applyAlignment="1" applyProtection="1">
      <alignment horizontal="center" vertical="center"/>
    </xf>
    <xf numFmtId="165" fontId="6" fillId="3" borderId="7" xfId="1" applyNumberFormat="1" applyFont="1" applyFill="1" applyBorder="1" applyAlignment="1" applyProtection="1">
      <alignment horizontal="center" vertical="center"/>
    </xf>
    <xf numFmtId="0" fontId="32" fillId="0" borderId="5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top"/>
    </xf>
    <xf numFmtId="0" fontId="2" fillId="2" borderId="6" xfId="0" applyFont="1" applyFill="1" applyBorder="1" applyAlignment="1">
      <alignment horizontal="left" vertical="top"/>
    </xf>
    <xf numFmtId="0" fontId="9" fillId="2" borderId="5" xfId="0" applyFont="1" applyFill="1" applyBorder="1" applyAlignment="1">
      <alignment horizontal="left" vertical="top" wrapText="1"/>
    </xf>
    <xf numFmtId="0" fontId="9" fillId="2" borderId="6" xfId="0" applyFont="1" applyFill="1" applyBorder="1" applyAlignment="1">
      <alignment horizontal="left" vertical="top" wrapText="1"/>
    </xf>
    <xf numFmtId="165" fontId="6" fillId="3" borderId="4" xfId="1" applyNumberFormat="1" applyFont="1" applyFill="1" applyBorder="1" applyAlignment="1" applyProtection="1">
      <alignment horizontal="center" vertical="center"/>
    </xf>
    <xf numFmtId="165" fontId="6" fillId="3" borderId="5" xfId="1" applyNumberFormat="1" applyFont="1" applyFill="1" applyBorder="1" applyAlignment="1" applyProtection="1">
      <alignment horizontal="center" vertical="center"/>
    </xf>
    <xf numFmtId="165" fontId="6" fillId="3" borderId="6" xfId="1" applyNumberFormat="1" applyFont="1" applyFill="1" applyBorder="1" applyAlignment="1" applyProtection="1">
      <alignment horizontal="center" vertical="center"/>
    </xf>
    <xf numFmtId="165" fontId="6" fillId="3" borderId="8" xfId="1" applyNumberFormat="1" applyFont="1" applyFill="1" applyBorder="1" applyAlignment="1" applyProtection="1">
      <alignment horizontal="center" vertical="center"/>
    </xf>
    <xf numFmtId="165" fontId="6" fillId="3" borderId="14" xfId="1" applyNumberFormat="1" applyFont="1" applyFill="1" applyBorder="1" applyAlignment="1" applyProtection="1">
      <alignment horizontal="center" vertical="center"/>
    </xf>
    <xf numFmtId="165" fontId="6" fillId="3" borderId="15" xfId="1" applyNumberFormat="1" applyFont="1" applyFill="1" applyBorder="1" applyAlignment="1" applyProtection="1">
      <alignment horizontal="center" vertical="center"/>
    </xf>
    <xf numFmtId="0" fontId="2" fillId="0" borderId="0" xfId="0" applyFont="1" applyBorder="1" applyAlignment="1">
      <alignment horizontal="center"/>
    </xf>
    <xf numFmtId="3" fontId="2" fillId="0" borderId="0" xfId="0" applyNumberFormat="1" applyFont="1" applyBorder="1" applyAlignment="1">
      <alignment horizontal="right"/>
    </xf>
    <xf numFmtId="0" fontId="9" fillId="0" borderId="13" xfId="0" applyFont="1" applyBorder="1" applyAlignment="1">
      <alignment horizontal="center"/>
    </xf>
    <xf numFmtId="3" fontId="9" fillId="0" borderId="13" xfId="0" applyNumberFormat="1" applyFont="1" applyBorder="1" applyAlignment="1">
      <alignment horizontal="right"/>
    </xf>
    <xf numFmtId="0" fontId="2" fillId="0" borderId="13" xfId="0" applyFont="1" applyBorder="1" applyAlignment="1" applyProtection="1">
      <alignment horizontal="left"/>
      <protection locked="0"/>
    </xf>
    <xf numFmtId="3" fontId="2" fillId="0" borderId="13" xfId="0" applyNumberFormat="1" applyFont="1" applyBorder="1" applyAlignment="1" applyProtection="1">
      <alignment horizontal="right"/>
      <protection locked="0"/>
    </xf>
    <xf numFmtId="3" fontId="2" fillId="0" borderId="13" xfId="0" applyNumberFormat="1" applyFont="1" applyBorder="1" applyAlignment="1" applyProtection="1">
      <alignment horizontal="right"/>
    </xf>
    <xf numFmtId="0" fontId="9" fillId="0" borderId="13" xfId="0" applyFont="1" applyBorder="1" applyAlignment="1">
      <alignment horizontal="right"/>
    </xf>
    <xf numFmtId="3" fontId="9" fillId="0" borderId="13" xfId="0" applyNumberFormat="1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11" xfId="0" applyFont="1" applyBorder="1" applyAlignment="1" applyProtection="1">
      <alignment horizontal="left"/>
      <protection locked="0"/>
    </xf>
    <xf numFmtId="165" fontId="6" fillId="3" borderId="13" xfId="1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justify" wrapText="1"/>
    </xf>
    <xf numFmtId="0" fontId="9" fillId="2" borderId="17" xfId="0" applyFont="1" applyFill="1" applyBorder="1" applyAlignment="1">
      <alignment horizontal="left" vertical="center" wrapText="1"/>
    </xf>
    <xf numFmtId="0" fontId="9" fillId="2" borderId="18" xfId="0" applyFont="1" applyFill="1" applyBorder="1" applyAlignment="1">
      <alignment horizontal="left" vertical="center" wrapText="1"/>
    </xf>
    <xf numFmtId="165" fontId="6" fillId="3" borderId="9" xfId="1" applyNumberFormat="1" applyFont="1" applyFill="1" applyBorder="1" applyAlignment="1" applyProtection="1">
      <alignment horizontal="center"/>
    </xf>
    <xf numFmtId="165" fontId="6" fillId="3" borderId="11" xfId="1" applyNumberFormat="1" applyFont="1" applyFill="1" applyBorder="1" applyAlignment="1" applyProtection="1">
      <alignment horizontal="center"/>
    </xf>
    <xf numFmtId="165" fontId="6" fillId="3" borderId="0" xfId="1" applyNumberFormat="1" applyFont="1" applyFill="1" applyBorder="1" applyAlignment="1" applyProtection="1">
      <alignment horizontal="center"/>
      <protection locked="0"/>
    </xf>
    <xf numFmtId="165" fontId="6" fillId="3" borderId="0" xfId="1" applyNumberFormat="1" applyFont="1" applyFill="1" applyBorder="1" applyAlignment="1" applyProtection="1">
      <alignment horizontal="center"/>
    </xf>
    <xf numFmtId="0" fontId="9" fillId="2" borderId="17" xfId="0" applyFont="1" applyFill="1" applyBorder="1" applyAlignment="1" applyProtection="1">
      <alignment horizontal="left" vertical="center" wrapText="1"/>
    </xf>
    <xf numFmtId="0" fontId="9" fillId="2" borderId="18" xfId="0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>
      <alignment horizontal="justify" vertical="center" wrapText="1"/>
    </xf>
    <xf numFmtId="0" fontId="2" fillId="0" borderId="6" xfId="0" applyFont="1" applyFill="1" applyBorder="1" applyAlignment="1">
      <alignment horizontal="justify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9" fillId="0" borderId="10" xfId="0" applyFont="1" applyFill="1" applyBorder="1" applyAlignment="1">
      <alignment horizontal="left" vertical="center" wrapText="1" indent="3"/>
    </xf>
    <xf numFmtId="0" fontId="9" fillId="0" borderId="11" xfId="0" applyFont="1" applyFill="1" applyBorder="1" applyAlignment="1">
      <alignment horizontal="left" vertical="center" wrapText="1" indent="3"/>
    </xf>
    <xf numFmtId="165" fontId="33" fillId="3" borderId="20" xfId="1" applyNumberFormat="1" applyFont="1" applyFill="1" applyBorder="1" applyAlignment="1" applyProtection="1">
      <alignment horizontal="center"/>
    </xf>
    <xf numFmtId="165" fontId="33" fillId="3" borderId="21" xfId="1" applyNumberFormat="1" applyFont="1" applyFill="1" applyBorder="1" applyAlignment="1" applyProtection="1">
      <alignment horizontal="center"/>
    </xf>
    <xf numFmtId="165" fontId="33" fillId="3" borderId="22" xfId="1" applyNumberFormat="1" applyFont="1" applyFill="1" applyBorder="1" applyAlignment="1" applyProtection="1">
      <alignment horizontal="center"/>
    </xf>
    <xf numFmtId="165" fontId="33" fillId="3" borderId="23" xfId="1" applyNumberFormat="1" applyFont="1" applyFill="1" applyBorder="1" applyAlignment="1" applyProtection="1">
      <alignment horizontal="center"/>
      <protection locked="0"/>
    </xf>
    <xf numFmtId="165" fontId="33" fillId="3" borderId="0" xfId="1" applyNumberFormat="1" applyFont="1" applyFill="1" applyBorder="1" applyAlignment="1" applyProtection="1">
      <alignment horizontal="center"/>
      <protection locked="0"/>
    </xf>
    <xf numFmtId="165" fontId="33" fillId="3" borderId="24" xfId="1" applyNumberFormat="1" applyFont="1" applyFill="1" applyBorder="1" applyAlignment="1" applyProtection="1">
      <alignment horizontal="center"/>
      <protection locked="0"/>
    </xf>
    <xf numFmtId="165" fontId="33" fillId="3" borderId="23" xfId="1" applyNumberFormat="1" applyFont="1" applyFill="1" applyBorder="1" applyAlignment="1" applyProtection="1">
      <alignment horizontal="center"/>
    </xf>
    <xf numFmtId="165" fontId="33" fillId="3" borderId="0" xfId="1" applyNumberFormat="1" applyFont="1" applyFill="1" applyBorder="1" applyAlignment="1" applyProtection="1">
      <alignment horizontal="center"/>
    </xf>
    <xf numFmtId="165" fontId="33" fillId="3" borderId="24" xfId="1" applyNumberFormat="1" applyFont="1" applyFill="1" applyBorder="1" applyAlignment="1" applyProtection="1">
      <alignment horizontal="center"/>
    </xf>
    <xf numFmtId="165" fontId="6" fillId="3" borderId="3" xfId="1" applyNumberFormat="1" applyFont="1" applyFill="1" applyBorder="1" applyAlignment="1" applyProtection="1">
      <alignment horizontal="center" vertical="center"/>
    </xf>
    <xf numFmtId="165" fontId="6" fillId="3" borderId="0" xfId="1" applyNumberFormat="1" applyFont="1" applyFill="1" applyBorder="1" applyAlignment="1" applyProtection="1">
      <alignment horizontal="center" vertical="center"/>
    </xf>
    <xf numFmtId="165" fontId="6" fillId="3" borderId="1" xfId="1" applyNumberFormat="1" applyFont="1" applyFill="1" applyBorder="1" applyAlignment="1" applyProtection="1">
      <alignment horizontal="center" vertical="center"/>
    </xf>
    <xf numFmtId="165" fontId="6" fillId="3" borderId="10" xfId="1" applyNumberFormat="1" applyFont="1" applyFill="1" applyBorder="1" applyAlignment="1" applyProtection="1">
      <alignment horizontal="center"/>
    </xf>
    <xf numFmtId="165" fontId="6" fillId="3" borderId="16" xfId="1" applyNumberFormat="1" applyFont="1" applyFill="1" applyBorder="1" applyAlignment="1" applyProtection="1">
      <alignment horizontal="center" vertical="center"/>
    </xf>
    <xf numFmtId="0" fontId="21" fillId="5" borderId="0" xfId="0" applyNumberFormat="1" applyFont="1" applyFill="1" applyBorder="1" applyAlignment="1" applyProtection="1">
      <alignment horizontal="center" vertical="center"/>
    </xf>
    <xf numFmtId="0" fontId="3" fillId="5" borderId="28" xfId="0" applyNumberFormat="1" applyFont="1" applyFill="1" applyBorder="1" applyAlignment="1" applyProtection="1">
      <alignment horizontal="center"/>
      <protection locked="0"/>
    </xf>
    <xf numFmtId="0" fontId="44" fillId="3" borderId="29" xfId="0" applyNumberFormat="1" applyFont="1" applyFill="1" applyBorder="1" applyAlignment="1" applyProtection="1">
      <alignment horizontal="center" vertical="center"/>
    </xf>
    <xf numFmtId="0" fontId="44" fillId="3" borderId="30" xfId="0" applyNumberFormat="1" applyFont="1" applyFill="1" applyBorder="1" applyAlignment="1" applyProtection="1">
      <alignment horizontal="center" vertical="center"/>
    </xf>
    <xf numFmtId="0" fontId="38" fillId="5" borderId="0" xfId="0" applyNumberFormat="1" applyFont="1" applyFill="1" applyBorder="1" applyAlignment="1" applyProtection="1">
      <alignment vertical="center" wrapText="1"/>
      <protection locked="0"/>
    </xf>
    <xf numFmtId="0" fontId="37" fillId="3" borderId="29" xfId="0" applyNumberFormat="1" applyFont="1" applyFill="1" applyBorder="1" applyAlignment="1" applyProtection="1">
      <alignment horizontal="center" vertical="center"/>
    </xf>
    <xf numFmtId="0" fontId="37" fillId="3" borderId="30" xfId="0" applyNumberFormat="1" applyFont="1" applyFill="1" applyBorder="1" applyAlignment="1" applyProtection="1">
      <alignment horizontal="center" vertical="center"/>
    </xf>
    <xf numFmtId="0" fontId="6" fillId="3" borderId="38" xfId="0" applyFont="1" applyFill="1" applyBorder="1" applyAlignment="1">
      <alignment horizontal="center" vertical="center"/>
    </xf>
    <xf numFmtId="0" fontId="6" fillId="3" borderId="39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1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Border="1" applyAlignment="1" applyProtection="1">
      <alignment horizontal="center" vertical="center"/>
      <protection locked="0"/>
    </xf>
    <xf numFmtId="0" fontId="6" fillId="3" borderId="42" xfId="0" applyFont="1" applyFill="1" applyBorder="1" applyAlignment="1" applyProtection="1">
      <alignment horizontal="center" vertical="center"/>
      <protection locked="0"/>
    </xf>
    <xf numFmtId="0" fontId="6" fillId="3" borderId="43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45" xfId="0" applyFont="1" applyFill="1" applyBorder="1" applyAlignment="1">
      <alignment horizontal="center" vertical="center"/>
    </xf>
    <xf numFmtId="0" fontId="2" fillId="0" borderId="46" xfId="0" applyFont="1" applyBorder="1" applyAlignment="1">
      <alignment horizontal="center" vertical="center" wrapText="1"/>
    </xf>
    <xf numFmtId="0" fontId="2" fillId="0" borderId="49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</cellXfs>
  <cellStyles count="9">
    <cellStyle name="=C:\WINNT\SYSTEM32\COMMAND.COM" xfId="2"/>
    <cellStyle name="Millares" xfId="1" builtinId="3"/>
    <cellStyle name="Millares 2" xfId="5"/>
    <cellStyle name="Moneda" xfId="6" builtinId="4"/>
    <cellStyle name="Moneda 2" xfId="8"/>
    <cellStyle name="Normal" xfId="0" builtinId="0"/>
    <cellStyle name="Normal 2" xfId="3"/>
    <cellStyle name="Normal 5" xfId="7"/>
    <cellStyle name="Normal 9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66675</xdr:colOff>
      <xdr:row>19</xdr:row>
      <xdr:rowOff>123825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328" t="22375" r="20938" b="25910"/>
        <a:stretch>
          <a:fillRect/>
        </a:stretch>
      </xdr:blipFill>
      <xdr:spPr bwMode="auto">
        <a:xfrm>
          <a:off x="1" y="0"/>
          <a:ext cx="6686549" cy="3743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5</xdr:col>
      <xdr:colOff>496033</xdr:colOff>
      <xdr:row>74</xdr:row>
      <xdr:rowOff>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927231"/>
          <a:ext cx="7419975" cy="1143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666750</xdr:colOff>
      <xdr:row>27</xdr:row>
      <xdr:rowOff>24780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328" t="22375" r="21016" b="7125"/>
        <a:stretch>
          <a:fillRect/>
        </a:stretch>
      </xdr:blipFill>
      <xdr:spPr bwMode="auto">
        <a:xfrm>
          <a:off x="0" y="0"/>
          <a:ext cx="6762750" cy="51682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180975</xdr:colOff>
      <xdr:row>28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06" t="22125" r="20859" b="7000"/>
        <a:stretch>
          <a:fillRect/>
        </a:stretch>
      </xdr:blipFill>
      <xdr:spPr bwMode="auto">
        <a:xfrm>
          <a:off x="0" y="0"/>
          <a:ext cx="7038975" cy="5400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584470</xdr:colOff>
      <xdr:row>26</xdr:row>
      <xdr:rowOff>152401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06" t="22375" r="20938" b="7125"/>
        <a:stretch>
          <a:fillRect/>
        </a:stretch>
      </xdr:blipFill>
      <xdr:spPr bwMode="auto">
        <a:xfrm>
          <a:off x="0" y="1"/>
          <a:ext cx="6680470" cy="5105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66676</xdr:rowOff>
    </xdr:from>
    <xdr:to>
      <xdr:col>8</xdr:col>
      <xdr:colOff>638176</xdr:colOff>
      <xdr:row>27</xdr:row>
      <xdr:rowOff>51344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06" t="22250" r="20938" b="7000"/>
        <a:stretch>
          <a:fillRect/>
        </a:stretch>
      </xdr:blipFill>
      <xdr:spPr bwMode="auto">
        <a:xfrm>
          <a:off x="47626" y="66676"/>
          <a:ext cx="6686550" cy="51281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114301</xdr:colOff>
      <xdr:row>5</xdr:row>
      <xdr:rowOff>34342</xdr:rowOff>
    </xdr:from>
    <xdr:to>
      <xdr:col>8</xdr:col>
      <xdr:colOff>628651</xdr:colOff>
      <xdr:row>39</xdr:row>
      <xdr:rowOff>76200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986842"/>
          <a:ext cx="6610350" cy="6518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76202</xdr:colOff>
      <xdr:row>40</xdr:row>
      <xdr:rowOff>9525</xdr:rowOff>
    </xdr:from>
    <xdr:to>
      <xdr:col>9</xdr:col>
      <xdr:colOff>161416</xdr:colOff>
      <xdr:row>64</xdr:row>
      <xdr:rowOff>133349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2" y="7629525"/>
          <a:ext cx="6943214" cy="469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8</xdr:col>
      <xdr:colOff>571500</xdr:colOff>
      <xdr:row>26</xdr:row>
      <xdr:rowOff>167495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84" t="22250" r="20938" b="7000"/>
        <a:stretch>
          <a:fillRect/>
        </a:stretch>
      </xdr:blipFill>
      <xdr:spPr bwMode="auto">
        <a:xfrm>
          <a:off x="1" y="1"/>
          <a:ext cx="6667499" cy="51204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D23:E24"/>
  <sheetViews>
    <sheetView showGridLines="0" tabSelected="1" topLeftCell="A10" workbookViewId="0">
      <selection activeCell="K18" sqref="K18"/>
    </sheetView>
  </sheetViews>
  <sheetFormatPr baseColWidth="10" defaultRowHeight="15"/>
  <cols>
    <col min="4" max="4" width="19.28515625" customWidth="1"/>
  </cols>
  <sheetData>
    <row r="23" spans="4:5">
      <c r="D23" s="430" t="s">
        <v>419</v>
      </c>
      <c r="E23" s="516">
        <v>2015</v>
      </c>
    </row>
    <row r="24" spans="4:5" ht="9" customHeight="1">
      <c r="D24" s="430" t="s">
        <v>420</v>
      </c>
      <c r="E24" s="516"/>
    </row>
  </sheetData>
  <mergeCells count="1">
    <mergeCell ref="E23:E24"/>
  </mergeCell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L63"/>
  <sheetViews>
    <sheetView showGridLines="0" topLeftCell="C40" zoomScale="80" zoomScaleNormal="80" workbookViewId="0">
      <selection activeCell="D61" sqref="D61:E62"/>
    </sheetView>
  </sheetViews>
  <sheetFormatPr baseColWidth="10" defaultColWidth="0" defaultRowHeight="15" customHeight="1" zeroHeight="1"/>
  <cols>
    <col min="1" max="1" width="1.42578125" customWidth="1"/>
    <col min="2" max="2" width="3.28515625" customWidth="1"/>
    <col min="3" max="3" width="11.42578125" customWidth="1"/>
    <col min="4" max="4" width="40" customWidth="1"/>
    <col min="5" max="6" width="21" customWidth="1"/>
    <col min="7" max="7" width="3.42578125" customWidth="1"/>
    <col min="8" max="8" width="11.42578125" customWidth="1"/>
    <col min="9" max="9" width="50.85546875" customWidth="1"/>
    <col min="10" max="11" width="21" customWidth="1"/>
    <col min="12" max="12" width="3.5703125" customWidth="1"/>
    <col min="13" max="13" width="4.42578125" customWidth="1"/>
    <col min="257" max="257" width="1.42578125" customWidth="1"/>
    <col min="258" max="258" width="3.28515625" customWidth="1"/>
    <col min="259" max="259" width="11.42578125" customWidth="1"/>
    <col min="260" max="260" width="40" customWidth="1"/>
    <col min="261" max="262" width="21" customWidth="1"/>
    <col min="263" max="263" width="3.42578125" customWidth="1"/>
    <col min="264" max="264" width="11.42578125" customWidth="1"/>
    <col min="265" max="265" width="50.85546875" customWidth="1"/>
    <col min="266" max="267" width="21" customWidth="1"/>
    <col min="268" max="268" width="3.5703125" customWidth="1"/>
    <col min="269" max="269" width="4.42578125" customWidth="1"/>
    <col min="513" max="513" width="1.42578125" customWidth="1"/>
    <col min="514" max="514" width="3.28515625" customWidth="1"/>
    <col min="515" max="515" width="11.42578125" customWidth="1"/>
    <col min="516" max="516" width="40" customWidth="1"/>
    <col min="517" max="518" width="21" customWidth="1"/>
    <col min="519" max="519" width="3.42578125" customWidth="1"/>
    <col min="520" max="520" width="11.42578125" customWidth="1"/>
    <col min="521" max="521" width="50.85546875" customWidth="1"/>
    <col min="522" max="523" width="21" customWidth="1"/>
    <col min="524" max="524" width="3.5703125" customWidth="1"/>
    <col min="525" max="525" width="4.42578125" customWidth="1"/>
    <col min="769" max="769" width="1.42578125" customWidth="1"/>
    <col min="770" max="770" width="3.28515625" customWidth="1"/>
    <col min="771" max="771" width="11.42578125" customWidth="1"/>
    <col min="772" max="772" width="40" customWidth="1"/>
    <col min="773" max="774" width="21" customWidth="1"/>
    <col min="775" max="775" width="3.42578125" customWidth="1"/>
    <col min="776" max="776" width="11.42578125" customWidth="1"/>
    <col min="777" max="777" width="50.85546875" customWidth="1"/>
    <col min="778" max="779" width="21" customWidth="1"/>
    <col min="780" max="780" width="3.5703125" customWidth="1"/>
    <col min="781" max="781" width="4.42578125" customWidth="1"/>
    <col min="1025" max="1025" width="1.42578125" customWidth="1"/>
    <col min="1026" max="1026" width="3.28515625" customWidth="1"/>
    <col min="1027" max="1027" width="11.42578125" customWidth="1"/>
    <col min="1028" max="1028" width="40" customWidth="1"/>
    <col min="1029" max="1030" width="21" customWidth="1"/>
    <col min="1031" max="1031" width="3.42578125" customWidth="1"/>
    <col min="1032" max="1032" width="11.42578125" customWidth="1"/>
    <col min="1033" max="1033" width="50.85546875" customWidth="1"/>
    <col min="1034" max="1035" width="21" customWidth="1"/>
    <col min="1036" max="1036" width="3.5703125" customWidth="1"/>
    <col min="1037" max="1037" width="4.42578125" customWidth="1"/>
    <col min="1281" max="1281" width="1.42578125" customWidth="1"/>
    <col min="1282" max="1282" width="3.28515625" customWidth="1"/>
    <col min="1283" max="1283" width="11.42578125" customWidth="1"/>
    <col min="1284" max="1284" width="40" customWidth="1"/>
    <col min="1285" max="1286" width="21" customWidth="1"/>
    <col min="1287" max="1287" width="3.42578125" customWidth="1"/>
    <col min="1288" max="1288" width="11.42578125" customWidth="1"/>
    <col min="1289" max="1289" width="50.85546875" customWidth="1"/>
    <col min="1290" max="1291" width="21" customWidth="1"/>
    <col min="1292" max="1292" width="3.5703125" customWidth="1"/>
    <col min="1293" max="1293" width="4.42578125" customWidth="1"/>
    <col min="1537" max="1537" width="1.42578125" customWidth="1"/>
    <col min="1538" max="1538" width="3.28515625" customWidth="1"/>
    <col min="1539" max="1539" width="11.42578125" customWidth="1"/>
    <col min="1540" max="1540" width="40" customWidth="1"/>
    <col min="1541" max="1542" width="21" customWidth="1"/>
    <col min="1543" max="1543" width="3.42578125" customWidth="1"/>
    <col min="1544" max="1544" width="11.42578125" customWidth="1"/>
    <col min="1545" max="1545" width="50.85546875" customWidth="1"/>
    <col min="1546" max="1547" width="21" customWidth="1"/>
    <col min="1548" max="1548" width="3.5703125" customWidth="1"/>
    <col min="1549" max="1549" width="4.42578125" customWidth="1"/>
    <col min="1793" max="1793" width="1.42578125" customWidth="1"/>
    <col min="1794" max="1794" width="3.28515625" customWidth="1"/>
    <col min="1795" max="1795" width="11.42578125" customWidth="1"/>
    <col min="1796" max="1796" width="40" customWidth="1"/>
    <col min="1797" max="1798" width="21" customWidth="1"/>
    <col min="1799" max="1799" width="3.42578125" customWidth="1"/>
    <col min="1800" max="1800" width="11.42578125" customWidth="1"/>
    <col min="1801" max="1801" width="50.85546875" customWidth="1"/>
    <col min="1802" max="1803" width="21" customWidth="1"/>
    <col min="1804" max="1804" width="3.5703125" customWidth="1"/>
    <col min="1805" max="1805" width="4.42578125" customWidth="1"/>
    <col min="2049" max="2049" width="1.42578125" customWidth="1"/>
    <col min="2050" max="2050" width="3.28515625" customWidth="1"/>
    <col min="2051" max="2051" width="11.42578125" customWidth="1"/>
    <col min="2052" max="2052" width="40" customWidth="1"/>
    <col min="2053" max="2054" width="21" customWidth="1"/>
    <col min="2055" max="2055" width="3.42578125" customWidth="1"/>
    <col min="2056" max="2056" width="11.42578125" customWidth="1"/>
    <col min="2057" max="2057" width="50.85546875" customWidth="1"/>
    <col min="2058" max="2059" width="21" customWidth="1"/>
    <col min="2060" max="2060" width="3.5703125" customWidth="1"/>
    <col min="2061" max="2061" width="4.42578125" customWidth="1"/>
    <col min="2305" max="2305" width="1.42578125" customWidth="1"/>
    <col min="2306" max="2306" width="3.28515625" customWidth="1"/>
    <col min="2307" max="2307" width="11.42578125" customWidth="1"/>
    <col min="2308" max="2308" width="40" customWidth="1"/>
    <col min="2309" max="2310" width="21" customWidth="1"/>
    <col min="2311" max="2311" width="3.42578125" customWidth="1"/>
    <col min="2312" max="2312" width="11.42578125" customWidth="1"/>
    <col min="2313" max="2313" width="50.85546875" customWidth="1"/>
    <col min="2314" max="2315" width="21" customWidth="1"/>
    <col min="2316" max="2316" width="3.5703125" customWidth="1"/>
    <col min="2317" max="2317" width="4.42578125" customWidth="1"/>
    <col min="2561" max="2561" width="1.42578125" customWidth="1"/>
    <col min="2562" max="2562" width="3.28515625" customWidth="1"/>
    <col min="2563" max="2563" width="11.42578125" customWidth="1"/>
    <col min="2564" max="2564" width="40" customWidth="1"/>
    <col min="2565" max="2566" width="21" customWidth="1"/>
    <col min="2567" max="2567" width="3.42578125" customWidth="1"/>
    <col min="2568" max="2568" width="11.42578125" customWidth="1"/>
    <col min="2569" max="2569" width="50.85546875" customWidth="1"/>
    <col min="2570" max="2571" width="21" customWidth="1"/>
    <col min="2572" max="2572" width="3.5703125" customWidth="1"/>
    <col min="2573" max="2573" width="4.42578125" customWidth="1"/>
    <col min="2817" max="2817" width="1.42578125" customWidth="1"/>
    <col min="2818" max="2818" width="3.28515625" customWidth="1"/>
    <col min="2819" max="2819" width="11.42578125" customWidth="1"/>
    <col min="2820" max="2820" width="40" customWidth="1"/>
    <col min="2821" max="2822" width="21" customWidth="1"/>
    <col min="2823" max="2823" width="3.42578125" customWidth="1"/>
    <col min="2824" max="2824" width="11.42578125" customWidth="1"/>
    <col min="2825" max="2825" width="50.85546875" customWidth="1"/>
    <col min="2826" max="2827" width="21" customWidth="1"/>
    <col min="2828" max="2828" width="3.5703125" customWidth="1"/>
    <col min="2829" max="2829" width="4.42578125" customWidth="1"/>
    <col min="3073" max="3073" width="1.42578125" customWidth="1"/>
    <col min="3074" max="3074" width="3.28515625" customWidth="1"/>
    <col min="3075" max="3075" width="11.42578125" customWidth="1"/>
    <col min="3076" max="3076" width="40" customWidth="1"/>
    <col min="3077" max="3078" width="21" customWidth="1"/>
    <col min="3079" max="3079" width="3.42578125" customWidth="1"/>
    <col min="3080" max="3080" width="11.42578125" customWidth="1"/>
    <col min="3081" max="3081" width="50.85546875" customWidth="1"/>
    <col min="3082" max="3083" width="21" customWidth="1"/>
    <col min="3084" max="3084" width="3.5703125" customWidth="1"/>
    <col min="3085" max="3085" width="4.42578125" customWidth="1"/>
    <col min="3329" max="3329" width="1.42578125" customWidth="1"/>
    <col min="3330" max="3330" width="3.28515625" customWidth="1"/>
    <col min="3331" max="3331" width="11.42578125" customWidth="1"/>
    <col min="3332" max="3332" width="40" customWidth="1"/>
    <col min="3333" max="3334" width="21" customWidth="1"/>
    <col min="3335" max="3335" width="3.42578125" customWidth="1"/>
    <col min="3336" max="3336" width="11.42578125" customWidth="1"/>
    <col min="3337" max="3337" width="50.85546875" customWidth="1"/>
    <col min="3338" max="3339" width="21" customWidth="1"/>
    <col min="3340" max="3340" width="3.5703125" customWidth="1"/>
    <col min="3341" max="3341" width="4.42578125" customWidth="1"/>
    <col min="3585" max="3585" width="1.42578125" customWidth="1"/>
    <col min="3586" max="3586" width="3.28515625" customWidth="1"/>
    <col min="3587" max="3587" width="11.42578125" customWidth="1"/>
    <col min="3588" max="3588" width="40" customWidth="1"/>
    <col min="3589" max="3590" width="21" customWidth="1"/>
    <col min="3591" max="3591" width="3.42578125" customWidth="1"/>
    <col min="3592" max="3592" width="11.42578125" customWidth="1"/>
    <col min="3593" max="3593" width="50.85546875" customWidth="1"/>
    <col min="3594" max="3595" width="21" customWidth="1"/>
    <col min="3596" max="3596" width="3.5703125" customWidth="1"/>
    <col min="3597" max="3597" width="4.42578125" customWidth="1"/>
    <col min="3841" max="3841" width="1.42578125" customWidth="1"/>
    <col min="3842" max="3842" width="3.28515625" customWidth="1"/>
    <col min="3843" max="3843" width="11.42578125" customWidth="1"/>
    <col min="3844" max="3844" width="40" customWidth="1"/>
    <col min="3845" max="3846" width="21" customWidth="1"/>
    <col min="3847" max="3847" width="3.42578125" customWidth="1"/>
    <col min="3848" max="3848" width="11.42578125" customWidth="1"/>
    <col min="3849" max="3849" width="50.85546875" customWidth="1"/>
    <col min="3850" max="3851" width="21" customWidth="1"/>
    <col min="3852" max="3852" width="3.5703125" customWidth="1"/>
    <col min="3853" max="3853" width="4.42578125" customWidth="1"/>
    <col min="4097" max="4097" width="1.42578125" customWidth="1"/>
    <col min="4098" max="4098" width="3.28515625" customWidth="1"/>
    <col min="4099" max="4099" width="11.42578125" customWidth="1"/>
    <col min="4100" max="4100" width="40" customWidth="1"/>
    <col min="4101" max="4102" width="21" customWidth="1"/>
    <col min="4103" max="4103" width="3.42578125" customWidth="1"/>
    <col min="4104" max="4104" width="11.42578125" customWidth="1"/>
    <col min="4105" max="4105" width="50.85546875" customWidth="1"/>
    <col min="4106" max="4107" width="21" customWidth="1"/>
    <col min="4108" max="4108" width="3.5703125" customWidth="1"/>
    <col min="4109" max="4109" width="4.42578125" customWidth="1"/>
    <col min="4353" max="4353" width="1.42578125" customWidth="1"/>
    <col min="4354" max="4354" width="3.28515625" customWidth="1"/>
    <col min="4355" max="4355" width="11.42578125" customWidth="1"/>
    <col min="4356" max="4356" width="40" customWidth="1"/>
    <col min="4357" max="4358" width="21" customWidth="1"/>
    <col min="4359" max="4359" width="3.42578125" customWidth="1"/>
    <col min="4360" max="4360" width="11.42578125" customWidth="1"/>
    <col min="4361" max="4361" width="50.85546875" customWidth="1"/>
    <col min="4362" max="4363" width="21" customWidth="1"/>
    <col min="4364" max="4364" width="3.5703125" customWidth="1"/>
    <col min="4365" max="4365" width="4.42578125" customWidth="1"/>
    <col min="4609" max="4609" width="1.42578125" customWidth="1"/>
    <col min="4610" max="4610" width="3.28515625" customWidth="1"/>
    <col min="4611" max="4611" width="11.42578125" customWidth="1"/>
    <col min="4612" max="4612" width="40" customWidth="1"/>
    <col min="4613" max="4614" width="21" customWidth="1"/>
    <col min="4615" max="4615" width="3.42578125" customWidth="1"/>
    <col min="4616" max="4616" width="11.42578125" customWidth="1"/>
    <col min="4617" max="4617" width="50.85546875" customWidth="1"/>
    <col min="4618" max="4619" width="21" customWidth="1"/>
    <col min="4620" max="4620" width="3.5703125" customWidth="1"/>
    <col min="4621" max="4621" width="4.42578125" customWidth="1"/>
    <col min="4865" max="4865" width="1.42578125" customWidth="1"/>
    <col min="4866" max="4866" width="3.28515625" customWidth="1"/>
    <col min="4867" max="4867" width="11.42578125" customWidth="1"/>
    <col min="4868" max="4868" width="40" customWidth="1"/>
    <col min="4869" max="4870" width="21" customWidth="1"/>
    <col min="4871" max="4871" width="3.42578125" customWidth="1"/>
    <col min="4872" max="4872" width="11.42578125" customWidth="1"/>
    <col min="4873" max="4873" width="50.85546875" customWidth="1"/>
    <col min="4874" max="4875" width="21" customWidth="1"/>
    <col min="4876" max="4876" width="3.5703125" customWidth="1"/>
    <col min="4877" max="4877" width="4.42578125" customWidth="1"/>
    <col min="5121" max="5121" width="1.42578125" customWidth="1"/>
    <col min="5122" max="5122" width="3.28515625" customWidth="1"/>
    <col min="5123" max="5123" width="11.42578125" customWidth="1"/>
    <col min="5124" max="5124" width="40" customWidth="1"/>
    <col min="5125" max="5126" width="21" customWidth="1"/>
    <col min="5127" max="5127" width="3.42578125" customWidth="1"/>
    <col min="5128" max="5128" width="11.42578125" customWidth="1"/>
    <col min="5129" max="5129" width="50.85546875" customWidth="1"/>
    <col min="5130" max="5131" width="21" customWidth="1"/>
    <col min="5132" max="5132" width="3.5703125" customWidth="1"/>
    <col min="5133" max="5133" width="4.42578125" customWidth="1"/>
    <col min="5377" max="5377" width="1.42578125" customWidth="1"/>
    <col min="5378" max="5378" width="3.28515625" customWidth="1"/>
    <col min="5379" max="5379" width="11.42578125" customWidth="1"/>
    <col min="5380" max="5380" width="40" customWidth="1"/>
    <col min="5381" max="5382" width="21" customWidth="1"/>
    <col min="5383" max="5383" width="3.42578125" customWidth="1"/>
    <col min="5384" max="5384" width="11.42578125" customWidth="1"/>
    <col min="5385" max="5385" width="50.85546875" customWidth="1"/>
    <col min="5386" max="5387" width="21" customWidth="1"/>
    <col min="5388" max="5388" width="3.5703125" customWidth="1"/>
    <col min="5389" max="5389" width="4.42578125" customWidth="1"/>
    <col min="5633" max="5633" width="1.42578125" customWidth="1"/>
    <col min="5634" max="5634" width="3.28515625" customWidth="1"/>
    <col min="5635" max="5635" width="11.42578125" customWidth="1"/>
    <col min="5636" max="5636" width="40" customWidth="1"/>
    <col min="5637" max="5638" width="21" customWidth="1"/>
    <col min="5639" max="5639" width="3.42578125" customWidth="1"/>
    <col min="5640" max="5640" width="11.42578125" customWidth="1"/>
    <col min="5641" max="5641" width="50.85546875" customWidth="1"/>
    <col min="5642" max="5643" width="21" customWidth="1"/>
    <col min="5644" max="5644" width="3.5703125" customWidth="1"/>
    <col min="5645" max="5645" width="4.42578125" customWidth="1"/>
    <col min="5889" max="5889" width="1.42578125" customWidth="1"/>
    <col min="5890" max="5890" width="3.28515625" customWidth="1"/>
    <col min="5891" max="5891" width="11.42578125" customWidth="1"/>
    <col min="5892" max="5892" width="40" customWidth="1"/>
    <col min="5893" max="5894" width="21" customWidth="1"/>
    <col min="5895" max="5895" width="3.42578125" customWidth="1"/>
    <col min="5896" max="5896" width="11.42578125" customWidth="1"/>
    <col min="5897" max="5897" width="50.85546875" customWidth="1"/>
    <col min="5898" max="5899" width="21" customWidth="1"/>
    <col min="5900" max="5900" width="3.5703125" customWidth="1"/>
    <col min="5901" max="5901" width="4.42578125" customWidth="1"/>
    <col min="6145" max="6145" width="1.42578125" customWidth="1"/>
    <col min="6146" max="6146" width="3.28515625" customWidth="1"/>
    <col min="6147" max="6147" width="11.42578125" customWidth="1"/>
    <col min="6148" max="6148" width="40" customWidth="1"/>
    <col min="6149" max="6150" width="21" customWidth="1"/>
    <col min="6151" max="6151" width="3.42578125" customWidth="1"/>
    <col min="6152" max="6152" width="11.42578125" customWidth="1"/>
    <col min="6153" max="6153" width="50.85546875" customWidth="1"/>
    <col min="6154" max="6155" width="21" customWidth="1"/>
    <col min="6156" max="6156" width="3.5703125" customWidth="1"/>
    <col min="6157" max="6157" width="4.42578125" customWidth="1"/>
    <col min="6401" max="6401" width="1.42578125" customWidth="1"/>
    <col min="6402" max="6402" width="3.28515625" customWidth="1"/>
    <col min="6403" max="6403" width="11.42578125" customWidth="1"/>
    <col min="6404" max="6404" width="40" customWidth="1"/>
    <col min="6405" max="6406" width="21" customWidth="1"/>
    <col min="6407" max="6407" width="3.42578125" customWidth="1"/>
    <col min="6408" max="6408" width="11.42578125" customWidth="1"/>
    <col min="6409" max="6409" width="50.85546875" customWidth="1"/>
    <col min="6410" max="6411" width="21" customWidth="1"/>
    <col min="6412" max="6412" width="3.5703125" customWidth="1"/>
    <col min="6413" max="6413" width="4.42578125" customWidth="1"/>
    <col min="6657" max="6657" width="1.42578125" customWidth="1"/>
    <col min="6658" max="6658" width="3.28515625" customWidth="1"/>
    <col min="6659" max="6659" width="11.42578125" customWidth="1"/>
    <col min="6660" max="6660" width="40" customWidth="1"/>
    <col min="6661" max="6662" width="21" customWidth="1"/>
    <col min="6663" max="6663" width="3.42578125" customWidth="1"/>
    <col min="6664" max="6664" width="11.42578125" customWidth="1"/>
    <col min="6665" max="6665" width="50.85546875" customWidth="1"/>
    <col min="6666" max="6667" width="21" customWidth="1"/>
    <col min="6668" max="6668" width="3.5703125" customWidth="1"/>
    <col min="6669" max="6669" width="4.42578125" customWidth="1"/>
    <col min="6913" max="6913" width="1.42578125" customWidth="1"/>
    <col min="6914" max="6914" width="3.28515625" customWidth="1"/>
    <col min="6915" max="6915" width="11.42578125" customWidth="1"/>
    <col min="6916" max="6916" width="40" customWidth="1"/>
    <col min="6917" max="6918" width="21" customWidth="1"/>
    <col min="6919" max="6919" width="3.42578125" customWidth="1"/>
    <col min="6920" max="6920" width="11.42578125" customWidth="1"/>
    <col min="6921" max="6921" width="50.85546875" customWidth="1"/>
    <col min="6922" max="6923" width="21" customWidth="1"/>
    <col min="6924" max="6924" width="3.5703125" customWidth="1"/>
    <col min="6925" max="6925" width="4.42578125" customWidth="1"/>
    <col min="7169" max="7169" width="1.42578125" customWidth="1"/>
    <col min="7170" max="7170" width="3.28515625" customWidth="1"/>
    <col min="7171" max="7171" width="11.42578125" customWidth="1"/>
    <col min="7172" max="7172" width="40" customWidth="1"/>
    <col min="7173" max="7174" width="21" customWidth="1"/>
    <col min="7175" max="7175" width="3.42578125" customWidth="1"/>
    <col min="7176" max="7176" width="11.42578125" customWidth="1"/>
    <col min="7177" max="7177" width="50.85546875" customWidth="1"/>
    <col min="7178" max="7179" width="21" customWidth="1"/>
    <col min="7180" max="7180" width="3.5703125" customWidth="1"/>
    <col min="7181" max="7181" width="4.42578125" customWidth="1"/>
    <col min="7425" max="7425" width="1.42578125" customWidth="1"/>
    <col min="7426" max="7426" width="3.28515625" customWidth="1"/>
    <col min="7427" max="7427" width="11.42578125" customWidth="1"/>
    <col min="7428" max="7428" width="40" customWidth="1"/>
    <col min="7429" max="7430" width="21" customWidth="1"/>
    <col min="7431" max="7431" width="3.42578125" customWidth="1"/>
    <col min="7432" max="7432" width="11.42578125" customWidth="1"/>
    <col min="7433" max="7433" width="50.85546875" customWidth="1"/>
    <col min="7434" max="7435" width="21" customWidth="1"/>
    <col min="7436" max="7436" width="3.5703125" customWidth="1"/>
    <col min="7437" max="7437" width="4.42578125" customWidth="1"/>
    <col min="7681" max="7681" width="1.42578125" customWidth="1"/>
    <col min="7682" max="7682" width="3.28515625" customWidth="1"/>
    <col min="7683" max="7683" width="11.42578125" customWidth="1"/>
    <col min="7684" max="7684" width="40" customWidth="1"/>
    <col min="7685" max="7686" width="21" customWidth="1"/>
    <col min="7687" max="7687" width="3.42578125" customWidth="1"/>
    <col min="7688" max="7688" width="11.42578125" customWidth="1"/>
    <col min="7689" max="7689" width="50.85546875" customWidth="1"/>
    <col min="7690" max="7691" width="21" customWidth="1"/>
    <col min="7692" max="7692" width="3.5703125" customWidth="1"/>
    <col min="7693" max="7693" width="4.42578125" customWidth="1"/>
    <col min="7937" max="7937" width="1.42578125" customWidth="1"/>
    <col min="7938" max="7938" width="3.28515625" customWidth="1"/>
    <col min="7939" max="7939" width="11.42578125" customWidth="1"/>
    <col min="7940" max="7940" width="40" customWidth="1"/>
    <col min="7941" max="7942" width="21" customWidth="1"/>
    <col min="7943" max="7943" width="3.42578125" customWidth="1"/>
    <col min="7944" max="7944" width="11.42578125" customWidth="1"/>
    <col min="7945" max="7945" width="50.85546875" customWidth="1"/>
    <col min="7946" max="7947" width="21" customWidth="1"/>
    <col min="7948" max="7948" width="3.5703125" customWidth="1"/>
    <col min="7949" max="7949" width="4.42578125" customWidth="1"/>
    <col min="8193" max="8193" width="1.42578125" customWidth="1"/>
    <col min="8194" max="8194" width="3.28515625" customWidth="1"/>
    <col min="8195" max="8195" width="11.42578125" customWidth="1"/>
    <col min="8196" max="8196" width="40" customWidth="1"/>
    <col min="8197" max="8198" width="21" customWidth="1"/>
    <col min="8199" max="8199" width="3.42578125" customWidth="1"/>
    <col min="8200" max="8200" width="11.42578125" customWidth="1"/>
    <col min="8201" max="8201" width="50.85546875" customWidth="1"/>
    <col min="8202" max="8203" width="21" customWidth="1"/>
    <col min="8204" max="8204" width="3.5703125" customWidth="1"/>
    <col min="8205" max="8205" width="4.42578125" customWidth="1"/>
    <col min="8449" max="8449" width="1.42578125" customWidth="1"/>
    <col min="8450" max="8450" width="3.28515625" customWidth="1"/>
    <col min="8451" max="8451" width="11.42578125" customWidth="1"/>
    <col min="8452" max="8452" width="40" customWidth="1"/>
    <col min="8453" max="8454" width="21" customWidth="1"/>
    <col min="8455" max="8455" width="3.42578125" customWidth="1"/>
    <col min="8456" max="8456" width="11.42578125" customWidth="1"/>
    <col min="8457" max="8457" width="50.85546875" customWidth="1"/>
    <col min="8458" max="8459" width="21" customWidth="1"/>
    <col min="8460" max="8460" width="3.5703125" customWidth="1"/>
    <col min="8461" max="8461" width="4.42578125" customWidth="1"/>
    <col min="8705" max="8705" width="1.42578125" customWidth="1"/>
    <col min="8706" max="8706" width="3.28515625" customWidth="1"/>
    <col min="8707" max="8707" width="11.42578125" customWidth="1"/>
    <col min="8708" max="8708" width="40" customWidth="1"/>
    <col min="8709" max="8710" width="21" customWidth="1"/>
    <col min="8711" max="8711" width="3.42578125" customWidth="1"/>
    <col min="8712" max="8712" width="11.42578125" customWidth="1"/>
    <col min="8713" max="8713" width="50.85546875" customWidth="1"/>
    <col min="8714" max="8715" width="21" customWidth="1"/>
    <col min="8716" max="8716" width="3.5703125" customWidth="1"/>
    <col min="8717" max="8717" width="4.42578125" customWidth="1"/>
    <col min="8961" max="8961" width="1.42578125" customWidth="1"/>
    <col min="8962" max="8962" width="3.28515625" customWidth="1"/>
    <col min="8963" max="8963" width="11.42578125" customWidth="1"/>
    <col min="8964" max="8964" width="40" customWidth="1"/>
    <col min="8965" max="8966" width="21" customWidth="1"/>
    <col min="8967" max="8967" width="3.42578125" customWidth="1"/>
    <col min="8968" max="8968" width="11.42578125" customWidth="1"/>
    <col min="8969" max="8969" width="50.85546875" customWidth="1"/>
    <col min="8970" max="8971" width="21" customWidth="1"/>
    <col min="8972" max="8972" width="3.5703125" customWidth="1"/>
    <col min="8973" max="8973" width="4.42578125" customWidth="1"/>
    <col min="9217" max="9217" width="1.42578125" customWidth="1"/>
    <col min="9218" max="9218" width="3.28515625" customWidth="1"/>
    <col min="9219" max="9219" width="11.42578125" customWidth="1"/>
    <col min="9220" max="9220" width="40" customWidth="1"/>
    <col min="9221" max="9222" width="21" customWidth="1"/>
    <col min="9223" max="9223" width="3.42578125" customWidth="1"/>
    <col min="9224" max="9224" width="11.42578125" customWidth="1"/>
    <col min="9225" max="9225" width="50.85546875" customWidth="1"/>
    <col min="9226" max="9227" width="21" customWidth="1"/>
    <col min="9228" max="9228" width="3.5703125" customWidth="1"/>
    <col min="9229" max="9229" width="4.42578125" customWidth="1"/>
    <col min="9473" max="9473" width="1.42578125" customWidth="1"/>
    <col min="9474" max="9474" width="3.28515625" customWidth="1"/>
    <col min="9475" max="9475" width="11.42578125" customWidth="1"/>
    <col min="9476" max="9476" width="40" customWidth="1"/>
    <col min="9477" max="9478" width="21" customWidth="1"/>
    <col min="9479" max="9479" width="3.42578125" customWidth="1"/>
    <col min="9480" max="9480" width="11.42578125" customWidth="1"/>
    <col min="9481" max="9481" width="50.85546875" customWidth="1"/>
    <col min="9482" max="9483" width="21" customWidth="1"/>
    <col min="9484" max="9484" width="3.5703125" customWidth="1"/>
    <col min="9485" max="9485" width="4.42578125" customWidth="1"/>
    <col min="9729" max="9729" width="1.42578125" customWidth="1"/>
    <col min="9730" max="9730" width="3.28515625" customWidth="1"/>
    <col min="9731" max="9731" width="11.42578125" customWidth="1"/>
    <col min="9732" max="9732" width="40" customWidth="1"/>
    <col min="9733" max="9734" width="21" customWidth="1"/>
    <col min="9735" max="9735" width="3.42578125" customWidth="1"/>
    <col min="9736" max="9736" width="11.42578125" customWidth="1"/>
    <col min="9737" max="9737" width="50.85546875" customWidth="1"/>
    <col min="9738" max="9739" width="21" customWidth="1"/>
    <col min="9740" max="9740" width="3.5703125" customWidth="1"/>
    <col min="9741" max="9741" width="4.42578125" customWidth="1"/>
    <col min="9985" max="9985" width="1.42578125" customWidth="1"/>
    <col min="9986" max="9986" width="3.28515625" customWidth="1"/>
    <col min="9987" max="9987" width="11.42578125" customWidth="1"/>
    <col min="9988" max="9988" width="40" customWidth="1"/>
    <col min="9989" max="9990" width="21" customWidth="1"/>
    <col min="9991" max="9991" width="3.42578125" customWidth="1"/>
    <col min="9992" max="9992" width="11.42578125" customWidth="1"/>
    <col min="9993" max="9993" width="50.85546875" customWidth="1"/>
    <col min="9994" max="9995" width="21" customWidth="1"/>
    <col min="9996" max="9996" width="3.5703125" customWidth="1"/>
    <col min="9997" max="9997" width="4.42578125" customWidth="1"/>
    <col min="10241" max="10241" width="1.42578125" customWidth="1"/>
    <col min="10242" max="10242" width="3.28515625" customWidth="1"/>
    <col min="10243" max="10243" width="11.42578125" customWidth="1"/>
    <col min="10244" max="10244" width="40" customWidth="1"/>
    <col min="10245" max="10246" width="21" customWidth="1"/>
    <col min="10247" max="10247" width="3.42578125" customWidth="1"/>
    <col min="10248" max="10248" width="11.42578125" customWidth="1"/>
    <col min="10249" max="10249" width="50.85546875" customWidth="1"/>
    <col min="10250" max="10251" width="21" customWidth="1"/>
    <col min="10252" max="10252" width="3.5703125" customWidth="1"/>
    <col min="10253" max="10253" width="4.42578125" customWidth="1"/>
    <col min="10497" max="10497" width="1.42578125" customWidth="1"/>
    <col min="10498" max="10498" width="3.28515625" customWidth="1"/>
    <col min="10499" max="10499" width="11.42578125" customWidth="1"/>
    <col min="10500" max="10500" width="40" customWidth="1"/>
    <col min="10501" max="10502" width="21" customWidth="1"/>
    <col min="10503" max="10503" width="3.42578125" customWidth="1"/>
    <col min="10504" max="10504" width="11.42578125" customWidth="1"/>
    <col min="10505" max="10505" width="50.85546875" customWidth="1"/>
    <col min="10506" max="10507" width="21" customWidth="1"/>
    <col min="10508" max="10508" width="3.5703125" customWidth="1"/>
    <col min="10509" max="10509" width="4.42578125" customWidth="1"/>
    <col min="10753" max="10753" width="1.42578125" customWidth="1"/>
    <col min="10754" max="10754" width="3.28515625" customWidth="1"/>
    <col min="10755" max="10755" width="11.42578125" customWidth="1"/>
    <col min="10756" max="10756" width="40" customWidth="1"/>
    <col min="10757" max="10758" width="21" customWidth="1"/>
    <col min="10759" max="10759" width="3.42578125" customWidth="1"/>
    <col min="10760" max="10760" width="11.42578125" customWidth="1"/>
    <col min="10761" max="10761" width="50.85546875" customWidth="1"/>
    <col min="10762" max="10763" width="21" customWidth="1"/>
    <col min="10764" max="10764" width="3.5703125" customWidth="1"/>
    <col min="10765" max="10765" width="4.42578125" customWidth="1"/>
    <col min="11009" max="11009" width="1.42578125" customWidth="1"/>
    <col min="11010" max="11010" width="3.28515625" customWidth="1"/>
    <col min="11011" max="11011" width="11.42578125" customWidth="1"/>
    <col min="11012" max="11012" width="40" customWidth="1"/>
    <col min="11013" max="11014" width="21" customWidth="1"/>
    <col min="11015" max="11015" width="3.42578125" customWidth="1"/>
    <col min="11016" max="11016" width="11.42578125" customWidth="1"/>
    <col min="11017" max="11017" width="50.85546875" customWidth="1"/>
    <col min="11018" max="11019" width="21" customWidth="1"/>
    <col min="11020" max="11020" width="3.5703125" customWidth="1"/>
    <col min="11021" max="11021" width="4.42578125" customWidth="1"/>
    <col min="11265" max="11265" width="1.42578125" customWidth="1"/>
    <col min="11266" max="11266" width="3.28515625" customWidth="1"/>
    <col min="11267" max="11267" width="11.42578125" customWidth="1"/>
    <col min="11268" max="11268" width="40" customWidth="1"/>
    <col min="11269" max="11270" width="21" customWidth="1"/>
    <col min="11271" max="11271" width="3.42578125" customWidth="1"/>
    <col min="11272" max="11272" width="11.42578125" customWidth="1"/>
    <col min="11273" max="11273" width="50.85546875" customWidth="1"/>
    <col min="11274" max="11275" width="21" customWidth="1"/>
    <col min="11276" max="11276" width="3.5703125" customWidth="1"/>
    <col min="11277" max="11277" width="4.42578125" customWidth="1"/>
    <col min="11521" max="11521" width="1.42578125" customWidth="1"/>
    <col min="11522" max="11522" width="3.28515625" customWidth="1"/>
    <col min="11523" max="11523" width="11.42578125" customWidth="1"/>
    <col min="11524" max="11524" width="40" customWidth="1"/>
    <col min="11525" max="11526" width="21" customWidth="1"/>
    <col min="11527" max="11527" width="3.42578125" customWidth="1"/>
    <col min="11528" max="11528" width="11.42578125" customWidth="1"/>
    <col min="11529" max="11529" width="50.85546875" customWidth="1"/>
    <col min="11530" max="11531" width="21" customWidth="1"/>
    <col min="11532" max="11532" width="3.5703125" customWidth="1"/>
    <col min="11533" max="11533" width="4.42578125" customWidth="1"/>
    <col min="11777" max="11777" width="1.42578125" customWidth="1"/>
    <col min="11778" max="11778" width="3.28515625" customWidth="1"/>
    <col min="11779" max="11779" width="11.42578125" customWidth="1"/>
    <col min="11780" max="11780" width="40" customWidth="1"/>
    <col min="11781" max="11782" width="21" customWidth="1"/>
    <col min="11783" max="11783" width="3.42578125" customWidth="1"/>
    <col min="11784" max="11784" width="11.42578125" customWidth="1"/>
    <col min="11785" max="11785" width="50.85546875" customWidth="1"/>
    <col min="11786" max="11787" width="21" customWidth="1"/>
    <col min="11788" max="11788" width="3.5703125" customWidth="1"/>
    <col min="11789" max="11789" width="4.42578125" customWidth="1"/>
    <col min="12033" max="12033" width="1.42578125" customWidth="1"/>
    <col min="12034" max="12034" width="3.28515625" customWidth="1"/>
    <col min="12035" max="12035" width="11.42578125" customWidth="1"/>
    <col min="12036" max="12036" width="40" customWidth="1"/>
    <col min="12037" max="12038" width="21" customWidth="1"/>
    <col min="12039" max="12039" width="3.42578125" customWidth="1"/>
    <col min="12040" max="12040" width="11.42578125" customWidth="1"/>
    <col min="12041" max="12041" width="50.85546875" customWidth="1"/>
    <col min="12042" max="12043" width="21" customWidth="1"/>
    <col min="12044" max="12044" width="3.5703125" customWidth="1"/>
    <col min="12045" max="12045" width="4.42578125" customWidth="1"/>
    <col min="12289" max="12289" width="1.42578125" customWidth="1"/>
    <col min="12290" max="12290" width="3.28515625" customWidth="1"/>
    <col min="12291" max="12291" width="11.42578125" customWidth="1"/>
    <col min="12292" max="12292" width="40" customWidth="1"/>
    <col min="12293" max="12294" width="21" customWidth="1"/>
    <col min="12295" max="12295" width="3.42578125" customWidth="1"/>
    <col min="12296" max="12296" width="11.42578125" customWidth="1"/>
    <col min="12297" max="12297" width="50.85546875" customWidth="1"/>
    <col min="12298" max="12299" width="21" customWidth="1"/>
    <col min="12300" max="12300" width="3.5703125" customWidth="1"/>
    <col min="12301" max="12301" width="4.42578125" customWidth="1"/>
    <col min="12545" max="12545" width="1.42578125" customWidth="1"/>
    <col min="12546" max="12546" width="3.28515625" customWidth="1"/>
    <col min="12547" max="12547" width="11.42578125" customWidth="1"/>
    <col min="12548" max="12548" width="40" customWidth="1"/>
    <col min="12549" max="12550" width="21" customWidth="1"/>
    <col min="12551" max="12551" width="3.42578125" customWidth="1"/>
    <col min="12552" max="12552" width="11.42578125" customWidth="1"/>
    <col min="12553" max="12553" width="50.85546875" customWidth="1"/>
    <col min="12554" max="12555" width="21" customWidth="1"/>
    <col min="12556" max="12556" width="3.5703125" customWidth="1"/>
    <col min="12557" max="12557" width="4.42578125" customWidth="1"/>
    <col min="12801" max="12801" width="1.42578125" customWidth="1"/>
    <col min="12802" max="12802" width="3.28515625" customWidth="1"/>
    <col min="12803" max="12803" width="11.42578125" customWidth="1"/>
    <col min="12804" max="12804" width="40" customWidth="1"/>
    <col min="12805" max="12806" width="21" customWidth="1"/>
    <col min="12807" max="12807" width="3.42578125" customWidth="1"/>
    <col min="12808" max="12808" width="11.42578125" customWidth="1"/>
    <col min="12809" max="12809" width="50.85546875" customWidth="1"/>
    <col min="12810" max="12811" width="21" customWidth="1"/>
    <col min="12812" max="12812" width="3.5703125" customWidth="1"/>
    <col min="12813" max="12813" width="4.42578125" customWidth="1"/>
    <col min="13057" max="13057" width="1.42578125" customWidth="1"/>
    <col min="13058" max="13058" width="3.28515625" customWidth="1"/>
    <col min="13059" max="13059" width="11.42578125" customWidth="1"/>
    <col min="13060" max="13060" width="40" customWidth="1"/>
    <col min="13061" max="13062" width="21" customWidth="1"/>
    <col min="13063" max="13063" width="3.42578125" customWidth="1"/>
    <col min="13064" max="13064" width="11.42578125" customWidth="1"/>
    <col min="13065" max="13065" width="50.85546875" customWidth="1"/>
    <col min="13066" max="13067" width="21" customWidth="1"/>
    <col min="13068" max="13068" width="3.5703125" customWidth="1"/>
    <col min="13069" max="13069" width="4.42578125" customWidth="1"/>
    <col min="13313" max="13313" width="1.42578125" customWidth="1"/>
    <col min="13314" max="13314" width="3.28515625" customWidth="1"/>
    <col min="13315" max="13315" width="11.42578125" customWidth="1"/>
    <col min="13316" max="13316" width="40" customWidth="1"/>
    <col min="13317" max="13318" width="21" customWidth="1"/>
    <col min="13319" max="13319" width="3.42578125" customWidth="1"/>
    <col min="13320" max="13320" width="11.42578125" customWidth="1"/>
    <col min="13321" max="13321" width="50.85546875" customWidth="1"/>
    <col min="13322" max="13323" width="21" customWidth="1"/>
    <col min="13324" max="13324" width="3.5703125" customWidth="1"/>
    <col min="13325" max="13325" width="4.42578125" customWidth="1"/>
    <col min="13569" max="13569" width="1.42578125" customWidth="1"/>
    <col min="13570" max="13570" width="3.28515625" customWidth="1"/>
    <col min="13571" max="13571" width="11.42578125" customWidth="1"/>
    <col min="13572" max="13572" width="40" customWidth="1"/>
    <col min="13573" max="13574" width="21" customWidth="1"/>
    <col min="13575" max="13575" width="3.42578125" customWidth="1"/>
    <col min="13576" max="13576" width="11.42578125" customWidth="1"/>
    <col min="13577" max="13577" width="50.85546875" customWidth="1"/>
    <col min="13578" max="13579" width="21" customWidth="1"/>
    <col min="13580" max="13580" width="3.5703125" customWidth="1"/>
    <col min="13581" max="13581" width="4.42578125" customWidth="1"/>
    <col min="13825" max="13825" width="1.42578125" customWidth="1"/>
    <col min="13826" max="13826" width="3.28515625" customWidth="1"/>
    <col min="13827" max="13827" width="11.42578125" customWidth="1"/>
    <col min="13828" max="13828" width="40" customWidth="1"/>
    <col min="13829" max="13830" width="21" customWidth="1"/>
    <col min="13831" max="13831" width="3.42578125" customWidth="1"/>
    <col min="13832" max="13832" width="11.42578125" customWidth="1"/>
    <col min="13833" max="13833" width="50.85546875" customWidth="1"/>
    <col min="13834" max="13835" width="21" customWidth="1"/>
    <col min="13836" max="13836" width="3.5703125" customWidth="1"/>
    <col min="13837" max="13837" width="4.42578125" customWidth="1"/>
    <col min="14081" max="14081" width="1.42578125" customWidth="1"/>
    <col min="14082" max="14082" width="3.28515625" customWidth="1"/>
    <col min="14083" max="14083" width="11.42578125" customWidth="1"/>
    <col min="14084" max="14084" width="40" customWidth="1"/>
    <col min="14085" max="14086" width="21" customWidth="1"/>
    <col min="14087" max="14087" width="3.42578125" customWidth="1"/>
    <col min="14088" max="14088" width="11.42578125" customWidth="1"/>
    <col min="14089" max="14089" width="50.85546875" customWidth="1"/>
    <col min="14090" max="14091" width="21" customWidth="1"/>
    <col min="14092" max="14092" width="3.5703125" customWidth="1"/>
    <col min="14093" max="14093" width="4.42578125" customWidth="1"/>
    <col min="14337" max="14337" width="1.42578125" customWidth="1"/>
    <col min="14338" max="14338" width="3.28515625" customWidth="1"/>
    <col min="14339" max="14339" width="11.42578125" customWidth="1"/>
    <col min="14340" max="14340" width="40" customWidth="1"/>
    <col min="14341" max="14342" width="21" customWidth="1"/>
    <col min="14343" max="14343" width="3.42578125" customWidth="1"/>
    <col min="14344" max="14344" width="11.42578125" customWidth="1"/>
    <col min="14345" max="14345" width="50.85546875" customWidth="1"/>
    <col min="14346" max="14347" width="21" customWidth="1"/>
    <col min="14348" max="14348" width="3.5703125" customWidth="1"/>
    <col min="14349" max="14349" width="4.42578125" customWidth="1"/>
    <col min="14593" max="14593" width="1.42578125" customWidth="1"/>
    <col min="14594" max="14594" width="3.28515625" customWidth="1"/>
    <col min="14595" max="14595" width="11.42578125" customWidth="1"/>
    <col min="14596" max="14596" width="40" customWidth="1"/>
    <col min="14597" max="14598" width="21" customWidth="1"/>
    <col min="14599" max="14599" width="3.42578125" customWidth="1"/>
    <col min="14600" max="14600" width="11.42578125" customWidth="1"/>
    <col min="14601" max="14601" width="50.85546875" customWidth="1"/>
    <col min="14602" max="14603" width="21" customWidth="1"/>
    <col min="14604" max="14604" width="3.5703125" customWidth="1"/>
    <col min="14605" max="14605" width="4.42578125" customWidth="1"/>
    <col min="14849" max="14849" width="1.42578125" customWidth="1"/>
    <col min="14850" max="14850" width="3.28515625" customWidth="1"/>
    <col min="14851" max="14851" width="11.42578125" customWidth="1"/>
    <col min="14852" max="14852" width="40" customWidth="1"/>
    <col min="14853" max="14854" width="21" customWidth="1"/>
    <col min="14855" max="14855" width="3.42578125" customWidth="1"/>
    <col min="14856" max="14856" width="11.42578125" customWidth="1"/>
    <col min="14857" max="14857" width="50.85546875" customWidth="1"/>
    <col min="14858" max="14859" width="21" customWidth="1"/>
    <col min="14860" max="14860" width="3.5703125" customWidth="1"/>
    <col min="14861" max="14861" width="4.42578125" customWidth="1"/>
    <col min="15105" max="15105" width="1.42578125" customWidth="1"/>
    <col min="15106" max="15106" width="3.28515625" customWidth="1"/>
    <col min="15107" max="15107" width="11.42578125" customWidth="1"/>
    <col min="15108" max="15108" width="40" customWidth="1"/>
    <col min="15109" max="15110" width="21" customWidth="1"/>
    <col min="15111" max="15111" width="3.42578125" customWidth="1"/>
    <col min="15112" max="15112" width="11.42578125" customWidth="1"/>
    <col min="15113" max="15113" width="50.85546875" customWidth="1"/>
    <col min="15114" max="15115" width="21" customWidth="1"/>
    <col min="15116" max="15116" width="3.5703125" customWidth="1"/>
    <col min="15117" max="15117" width="4.42578125" customWidth="1"/>
    <col min="15361" max="15361" width="1.42578125" customWidth="1"/>
    <col min="15362" max="15362" width="3.28515625" customWidth="1"/>
    <col min="15363" max="15363" width="11.42578125" customWidth="1"/>
    <col min="15364" max="15364" width="40" customWidth="1"/>
    <col min="15365" max="15366" width="21" customWidth="1"/>
    <col min="15367" max="15367" width="3.42578125" customWidth="1"/>
    <col min="15368" max="15368" width="11.42578125" customWidth="1"/>
    <col min="15369" max="15369" width="50.85546875" customWidth="1"/>
    <col min="15370" max="15371" width="21" customWidth="1"/>
    <col min="15372" max="15372" width="3.5703125" customWidth="1"/>
    <col min="15373" max="15373" width="4.42578125" customWidth="1"/>
    <col min="15617" max="15617" width="1.42578125" customWidth="1"/>
    <col min="15618" max="15618" width="3.28515625" customWidth="1"/>
    <col min="15619" max="15619" width="11.42578125" customWidth="1"/>
    <col min="15620" max="15620" width="40" customWidth="1"/>
    <col min="15621" max="15622" width="21" customWidth="1"/>
    <col min="15623" max="15623" width="3.42578125" customWidth="1"/>
    <col min="15624" max="15624" width="11.42578125" customWidth="1"/>
    <col min="15625" max="15625" width="50.85546875" customWidth="1"/>
    <col min="15626" max="15627" width="21" customWidth="1"/>
    <col min="15628" max="15628" width="3.5703125" customWidth="1"/>
    <col min="15629" max="15629" width="4.42578125" customWidth="1"/>
    <col min="15873" max="15873" width="1.42578125" customWidth="1"/>
    <col min="15874" max="15874" width="3.28515625" customWidth="1"/>
    <col min="15875" max="15875" width="11.42578125" customWidth="1"/>
    <col min="15876" max="15876" width="40" customWidth="1"/>
    <col min="15877" max="15878" width="21" customWidth="1"/>
    <col min="15879" max="15879" width="3.42578125" customWidth="1"/>
    <col min="15880" max="15880" width="11.42578125" customWidth="1"/>
    <col min="15881" max="15881" width="50.85546875" customWidth="1"/>
    <col min="15882" max="15883" width="21" customWidth="1"/>
    <col min="15884" max="15884" width="3.5703125" customWidth="1"/>
    <col min="15885" max="15885" width="4.42578125" customWidth="1"/>
    <col min="16129" max="16129" width="1.42578125" customWidth="1"/>
    <col min="16130" max="16130" width="3.28515625" customWidth="1"/>
    <col min="16131" max="16131" width="11.42578125" customWidth="1"/>
    <col min="16132" max="16132" width="40" customWidth="1"/>
    <col min="16133" max="16134" width="21" customWidth="1"/>
    <col min="16135" max="16135" width="3.42578125" customWidth="1"/>
    <col min="16136" max="16136" width="11.42578125" customWidth="1"/>
    <col min="16137" max="16137" width="50.85546875" customWidth="1"/>
    <col min="16138" max="16139" width="21" customWidth="1"/>
    <col min="16140" max="16140" width="3.5703125" customWidth="1"/>
    <col min="16141" max="16141" width="4.42578125" customWidth="1"/>
  </cols>
  <sheetData>
    <row r="1" spans="2:12" ht="10.5" customHeight="1">
      <c r="B1" s="216"/>
      <c r="C1" s="217"/>
      <c r="D1" s="218"/>
      <c r="E1" s="219"/>
      <c r="F1" s="219"/>
      <c r="G1" s="218"/>
      <c r="H1" s="218"/>
      <c r="I1" s="220"/>
      <c r="J1" s="217"/>
      <c r="K1" s="217"/>
      <c r="L1" s="217"/>
    </row>
    <row r="2" spans="2:12" ht="9" customHeight="1">
      <c r="B2" s="49"/>
      <c r="C2" s="49"/>
      <c r="D2" s="64"/>
      <c r="E2" s="49"/>
      <c r="F2" s="49"/>
      <c r="G2" s="49"/>
      <c r="H2" s="49"/>
      <c r="I2" s="221"/>
      <c r="J2" s="49"/>
      <c r="K2" s="49"/>
      <c r="L2" s="49"/>
    </row>
    <row r="3" spans="2:12">
      <c r="B3" s="54"/>
      <c r="D3" s="533" t="s">
        <v>412</v>
      </c>
      <c r="E3" s="533"/>
      <c r="F3" s="533"/>
      <c r="G3" s="533"/>
      <c r="H3" s="533"/>
      <c r="I3" s="533"/>
      <c r="J3" s="533"/>
      <c r="K3" s="50"/>
      <c r="L3" s="50"/>
    </row>
    <row r="4" spans="2:12">
      <c r="B4" s="51"/>
      <c r="D4" s="533" t="s">
        <v>197</v>
      </c>
      <c r="E4" s="533"/>
      <c r="F4" s="533"/>
      <c r="G4" s="533"/>
      <c r="H4" s="533"/>
      <c r="I4" s="533"/>
      <c r="J4" s="533"/>
      <c r="K4" s="51"/>
      <c r="L4" s="51"/>
    </row>
    <row r="5" spans="2:12">
      <c r="B5" s="419"/>
      <c r="D5" s="533" t="s">
        <v>414</v>
      </c>
      <c r="E5" s="533"/>
      <c r="F5" s="533"/>
      <c r="G5" s="533"/>
      <c r="H5" s="533"/>
      <c r="I5" s="533"/>
      <c r="J5" s="533"/>
      <c r="K5" s="51"/>
      <c r="L5" s="51"/>
    </row>
    <row r="6" spans="2:12">
      <c r="B6" s="419"/>
      <c r="D6" s="533" t="s">
        <v>2</v>
      </c>
      <c r="E6" s="533"/>
      <c r="F6" s="533"/>
      <c r="G6" s="533"/>
      <c r="H6" s="533"/>
      <c r="I6" s="533"/>
      <c r="J6" s="533"/>
      <c r="K6" s="51"/>
      <c r="L6" s="51"/>
    </row>
    <row r="7" spans="2:12">
      <c r="B7" s="419"/>
      <c r="C7" s="53" t="s">
        <v>3</v>
      </c>
      <c r="D7" s="525" t="s">
        <v>421</v>
      </c>
      <c r="E7" s="525"/>
      <c r="F7" s="525"/>
      <c r="G7" s="525"/>
      <c r="H7" s="525"/>
      <c r="I7" s="525"/>
      <c r="J7" s="525"/>
      <c r="K7" s="11"/>
    </row>
    <row r="8" spans="2:12" ht="10.5" customHeight="1">
      <c r="B8" s="50"/>
      <c r="C8" s="50"/>
      <c r="D8" s="50"/>
      <c r="E8" s="50"/>
      <c r="F8" s="50"/>
      <c r="G8" s="50"/>
    </row>
    <row r="9" spans="2:12" ht="11.25" customHeight="1">
      <c r="B9" s="419"/>
      <c r="C9" s="126"/>
      <c r="D9" s="126"/>
      <c r="E9" s="126"/>
      <c r="F9" s="126"/>
      <c r="G9" s="52"/>
      <c r="H9" s="49"/>
      <c r="I9" s="221"/>
      <c r="J9" s="49"/>
      <c r="K9" s="49"/>
      <c r="L9" s="49"/>
    </row>
    <row r="10" spans="2:12" ht="8.25" customHeight="1">
      <c r="B10" s="55"/>
      <c r="C10" s="55"/>
      <c r="D10" s="55"/>
      <c r="E10" s="56"/>
      <c r="F10" s="56"/>
      <c r="G10" s="57"/>
      <c r="H10" s="49"/>
      <c r="I10" s="221"/>
      <c r="J10" s="49"/>
      <c r="K10" s="49"/>
      <c r="L10" s="49"/>
    </row>
    <row r="11" spans="2:12">
      <c r="B11" s="232"/>
      <c r="C11" s="532" t="s">
        <v>67</v>
      </c>
      <c r="D11" s="532"/>
      <c r="E11" s="98" t="s">
        <v>140</v>
      </c>
      <c r="F11" s="98" t="s">
        <v>144</v>
      </c>
      <c r="G11" s="418"/>
      <c r="H11" s="532" t="s">
        <v>67</v>
      </c>
      <c r="I11" s="532"/>
      <c r="J11" s="98" t="s">
        <v>140</v>
      </c>
      <c r="K11" s="98" t="s">
        <v>144</v>
      </c>
      <c r="L11" s="99"/>
    </row>
    <row r="12" spans="2:12">
      <c r="B12" s="58"/>
      <c r="C12" s="59"/>
      <c r="D12" s="59"/>
      <c r="E12" s="60"/>
      <c r="F12" s="60"/>
      <c r="G12" s="54"/>
      <c r="H12" s="49"/>
      <c r="I12" s="221"/>
      <c r="J12" s="49"/>
      <c r="K12" s="49"/>
      <c r="L12" s="61"/>
    </row>
    <row r="13" spans="2:12">
      <c r="B13" s="105"/>
      <c r="C13" s="134"/>
      <c r="D13" s="134"/>
      <c r="E13" s="222"/>
      <c r="F13" s="222"/>
      <c r="G13" s="64"/>
      <c r="H13" s="49"/>
      <c r="I13" s="221"/>
      <c r="J13" s="49"/>
      <c r="K13" s="49"/>
      <c r="L13" s="61"/>
    </row>
    <row r="14" spans="2:12">
      <c r="B14" s="68"/>
      <c r="C14" s="536" t="s">
        <v>7</v>
      </c>
      <c r="D14" s="536"/>
      <c r="E14" s="185">
        <f>E16+E26</f>
        <v>12015851.369999999</v>
      </c>
      <c r="F14" s="185">
        <f>F16+F26</f>
        <v>14169034.49</v>
      </c>
      <c r="G14" s="64"/>
      <c r="H14" s="536" t="s">
        <v>8</v>
      </c>
      <c r="I14" s="536"/>
      <c r="J14" s="185">
        <f>J16+J27</f>
        <v>979702.24</v>
      </c>
      <c r="K14" s="185">
        <f>K16+K27</f>
        <v>0</v>
      </c>
      <c r="L14" s="61"/>
    </row>
    <row r="15" spans="2:12">
      <c r="B15" s="66"/>
      <c r="C15" s="420"/>
      <c r="D15" s="93"/>
      <c r="E15" s="223"/>
      <c r="F15" s="223"/>
      <c r="G15" s="64"/>
      <c r="H15" s="420"/>
      <c r="I15" s="420"/>
      <c r="J15" s="223"/>
      <c r="K15" s="223"/>
      <c r="L15" s="61"/>
    </row>
    <row r="16" spans="2:12">
      <c r="B16" s="66"/>
      <c r="C16" s="536" t="s">
        <v>9</v>
      </c>
      <c r="D16" s="536"/>
      <c r="E16" s="185">
        <f>SUM(E18:E24)</f>
        <v>10339671.1</v>
      </c>
      <c r="F16" s="185">
        <f>SUM(F18:F24)</f>
        <v>3019230.74</v>
      </c>
      <c r="G16" s="64"/>
      <c r="H16" s="536" t="s">
        <v>10</v>
      </c>
      <c r="I16" s="536"/>
      <c r="J16" s="185">
        <f>SUM(J18:J25)</f>
        <v>979702.24</v>
      </c>
      <c r="K16" s="185">
        <f>SUM(K18:K25)</f>
        <v>0</v>
      </c>
      <c r="L16" s="61"/>
    </row>
    <row r="17" spans="2:12">
      <c r="B17" s="66"/>
      <c r="C17" s="420"/>
      <c r="D17" s="93"/>
      <c r="E17" s="223"/>
      <c r="F17" s="223"/>
      <c r="G17" s="64"/>
      <c r="H17" s="420"/>
      <c r="I17" s="420"/>
      <c r="J17" s="223"/>
      <c r="K17" s="223"/>
      <c r="L17" s="61"/>
    </row>
    <row r="18" spans="2:12">
      <c r="B18" s="68"/>
      <c r="C18" s="534" t="s">
        <v>11</v>
      </c>
      <c r="D18" s="534"/>
      <c r="E18" s="224">
        <v>0</v>
      </c>
      <c r="F18" s="224">
        <v>3019230.74</v>
      </c>
      <c r="G18" s="64"/>
      <c r="H18" s="534" t="s">
        <v>12</v>
      </c>
      <c r="I18" s="534"/>
      <c r="J18" s="224">
        <v>979702.24</v>
      </c>
      <c r="K18" s="224">
        <v>0</v>
      </c>
      <c r="L18" s="61"/>
    </row>
    <row r="19" spans="2:12">
      <c r="B19" s="68"/>
      <c r="C19" s="534" t="s">
        <v>13</v>
      </c>
      <c r="D19" s="534"/>
      <c r="E19" s="224">
        <v>10339671.1</v>
      </c>
      <c r="F19" s="224">
        <v>0</v>
      </c>
      <c r="G19" s="64"/>
      <c r="H19" s="534" t="s">
        <v>14</v>
      </c>
      <c r="I19" s="534"/>
      <c r="J19" s="224">
        <v>0</v>
      </c>
      <c r="K19" s="224">
        <v>0</v>
      </c>
      <c r="L19" s="61"/>
    </row>
    <row r="20" spans="2:12">
      <c r="B20" s="68"/>
      <c r="C20" s="534" t="s">
        <v>15</v>
      </c>
      <c r="D20" s="534"/>
      <c r="E20" s="224">
        <v>0</v>
      </c>
      <c r="F20" s="224">
        <v>0</v>
      </c>
      <c r="G20" s="64"/>
      <c r="H20" s="534" t="s">
        <v>16</v>
      </c>
      <c r="I20" s="534"/>
      <c r="J20" s="224">
        <v>0</v>
      </c>
      <c r="K20" s="224">
        <v>0</v>
      </c>
      <c r="L20" s="61"/>
    </row>
    <row r="21" spans="2:12">
      <c r="B21" s="68"/>
      <c r="C21" s="534" t="s">
        <v>17</v>
      </c>
      <c r="D21" s="534"/>
      <c r="E21" s="224">
        <v>0</v>
      </c>
      <c r="F21" s="224">
        <v>0</v>
      </c>
      <c r="G21" s="64"/>
      <c r="H21" s="534" t="s">
        <v>18</v>
      </c>
      <c r="I21" s="534"/>
      <c r="J21" s="224">
        <v>0</v>
      </c>
      <c r="K21" s="224">
        <v>0</v>
      </c>
      <c r="L21" s="61"/>
    </row>
    <row r="22" spans="2:12">
      <c r="B22" s="68"/>
      <c r="C22" s="534" t="s">
        <v>19</v>
      </c>
      <c r="D22" s="534"/>
      <c r="E22" s="224">
        <v>0</v>
      </c>
      <c r="F22" s="224">
        <v>0</v>
      </c>
      <c r="G22" s="64"/>
      <c r="H22" s="534" t="s">
        <v>20</v>
      </c>
      <c r="I22" s="534"/>
      <c r="J22" s="224">
        <v>0</v>
      </c>
      <c r="K22" s="224">
        <v>0</v>
      </c>
      <c r="L22" s="61"/>
    </row>
    <row r="23" spans="2:12">
      <c r="B23" s="68"/>
      <c r="C23" s="534" t="s">
        <v>21</v>
      </c>
      <c r="D23" s="534"/>
      <c r="E23" s="224">
        <v>0</v>
      </c>
      <c r="F23" s="224">
        <v>0</v>
      </c>
      <c r="G23" s="64"/>
      <c r="H23" s="534" t="s">
        <v>22</v>
      </c>
      <c r="I23" s="534"/>
      <c r="J23" s="224">
        <v>0</v>
      </c>
      <c r="K23" s="224">
        <v>0</v>
      </c>
      <c r="L23" s="61"/>
    </row>
    <row r="24" spans="2:12">
      <c r="B24" s="68"/>
      <c r="C24" s="534" t="s">
        <v>23</v>
      </c>
      <c r="D24" s="534"/>
      <c r="E24" s="224">
        <v>0</v>
      </c>
      <c r="F24" s="224">
        <v>0</v>
      </c>
      <c r="G24" s="64"/>
      <c r="H24" s="534" t="s">
        <v>24</v>
      </c>
      <c r="I24" s="534"/>
      <c r="J24" s="224">
        <v>0</v>
      </c>
      <c r="K24" s="224">
        <v>0</v>
      </c>
      <c r="L24" s="61"/>
    </row>
    <row r="25" spans="2:12">
      <c r="B25" s="66"/>
      <c r="C25" s="420"/>
      <c r="D25" s="93"/>
      <c r="E25" s="223"/>
      <c r="F25" s="223"/>
      <c r="G25" s="64"/>
      <c r="H25" s="534" t="s">
        <v>25</v>
      </c>
      <c r="I25" s="534"/>
      <c r="J25" s="224">
        <v>0</v>
      </c>
      <c r="K25" s="224">
        <v>0</v>
      </c>
      <c r="L25" s="61"/>
    </row>
    <row r="26" spans="2:12">
      <c r="B26" s="66"/>
      <c r="C26" s="536" t="s">
        <v>28</v>
      </c>
      <c r="D26" s="536"/>
      <c r="E26" s="185">
        <f>SUM(E28:E36)</f>
        <v>1676180.27</v>
      </c>
      <c r="F26" s="185">
        <f>SUM(F28:F36)</f>
        <v>11149803.75</v>
      </c>
      <c r="G26" s="64"/>
      <c r="H26" s="420"/>
      <c r="I26" s="420"/>
      <c r="J26" s="223"/>
      <c r="K26" s="223"/>
      <c r="L26" s="61"/>
    </row>
    <row r="27" spans="2:12">
      <c r="B27" s="66"/>
      <c r="C27" s="420"/>
      <c r="D27" s="93"/>
      <c r="E27" s="223"/>
      <c r="F27" s="223"/>
      <c r="G27" s="64"/>
      <c r="H27" s="537" t="s">
        <v>29</v>
      </c>
      <c r="I27" s="537"/>
      <c r="J27" s="185">
        <f>SUM(J29:J34)</f>
        <v>0</v>
      </c>
      <c r="K27" s="185">
        <f>SUM(K29:K34)</f>
        <v>0</v>
      </c>
      <c r="L27" s="61"/>
    </row>
    <row r="28" spans="2:12">
      <c r="B28" s="68"/>
      <c r="C28" s="534" t="s">
        <v>30</v>
      </c>
      <c r="D28" s="534"/>
      <c r="E28" s="224">
        <v>0</v>
      </c>
      <c r="F28" s="224">
        <v>0</v>
      </c>
      <c r="G28" s="64"/>
      <c r="H28" s="420"/>
      <c r="I28" s="420"/>
      <c r="J28" s="223"/>
      <c r="K28" s="223"/>
      <c r="L28" s="61"/>
    </row>
    <row r="29" spans="2:12">
      <c r="B29" s="68"/>
      <c r="C29" s="534" t="s">
        <v>32</v>
      </c>
      <c r="D29" s="534"/>
      <c r="E29" s="224">
        <v>0</v>
      </c>
      <c r="F29" s="224">
        <v>10542104.57</v>
      </c>
      <c r="G29" s="64"/>
      <c r="H29" s="534" t="s">
        <v>31</v>
      </c>
      <c r="I29" s="534"/>
      <c r="J29" s="224">
        <v>0</v>
      </c>
      <c r="K29" s="224">
        <v>0</v>
      </c>
      <c r="L29" s="61"/>
    </row>
    <row r="30" spans="2:12">
      <c r="B30" s="68"/>
      <c r="C30" s="534" t="s">
        <v>34</v>
      </c>
      <c r="D30" s="534"/>
      <c r="E30" s="224">
        <v>0</v>
      </c>
      <c r="F30" s="224">
        <v>0</v>
      </c>
      <c r="G30" s="64"/>
      <c r="H30" s="534" t="s">
        <v>33</v>
      </c>
      <c r="I30" s="534"/>
      <c r="J30" s="224">
        <v>0</v>
      </c>
      <c r="K30" s="224">
        <v>0</v>
      </c>
      <c r="L30" s="61"/>
    </row>
    <row r="31" spans="2:12">
      <c r="B31" s="68"/>
      <c r="C31" s="534" t="s">
        <v>36</v>
      </c>
      <c r="D31" s="534"/>
      <c r="E31" s="224">
        <v>0</v>
      </c>
      <c r="F31" s="224">
        <v>583837.98</v>
      </c>
      <c r="G31" s="64"/>
      <c r="H31" s="534" t="s">
        <v>35</v>
      </c>
      <c r="I31" s="534"/>
      <c r="J31" s="224">
        <v>0</v>
      </c>
      <c r="K31" s="224">
        <v>0</v>
      </c>
      <c r="L31" s="61"/>
    </row>
    <row r="32" spans="2:12">
      <c r="B32" s="68"/>
      <c r="C32" s="534" t="s">
        <v>38</v>
      </c>
      <c r="D32" s="534"/>
      <c r="E32" s="224">
        <v>0</v>
      </c>
      <c r="F32" s="224">
        <v>23861.200000000001</v>
      </c>
      <c r="G32" s="64"/>
      <c r="H32" s="534" t="s">
        <v>37</v>
      </c>
      <c r="I32" s="534"/>
      <c r="J32" s="224">
        <v>0</v>
      </c>
      <c r="K32" s="224">
        <v>0</v>
      </c>
      <c r="L32" s="61"/>
    </row>
    <row r="33" spans="2:12">
      <c r="B33" s="68"/>
      <c r="C33" s="534" t="s">
        <v>40</v>
      </c>
      <c r="D33" s="534"/>
      <c r="E33" s="224">
        <v>1676180.27</v>
      </c>
      <c r="F33" s="224">
        <v>0</v>
      </c>
      <c r="G33" s="64"/>
      <c r="H33" s="534" t="s">
        <v>39</v>
      </c>
      <c r="I33" s="534"/>
      <c r="J33" s="224">
        <v>0</v>
      </c>
      <c r="K33" s="224">
        <v>0</v>
      </c>
      <c r="L33" s="61"/>
    </row>
    <row r="34" spans="2:12">
      <c r="B34" s="68"/>
      <c r="C34" s="534" t="s">
        <v>42</v>
      </c>
      <c r="D34" s="534"/>
      <c r="E34" s="224">
        <v>0</v>
      </c>
      <c r="F34" s="224">
        <v>0</v>
      </c>
      <c r="G34" s="64"/>
      <c r="H34" s="534" t="s">
        <v>41</v>
      </c>
      <c r="I34" s="534"/>
      <c r="J34" s="224">
        <v>0</v>
      </c>
      <c r="K34" s="224">
        <v>0</v>
      </c>
      <c r="L34" s="61"/>
    </row>
    <row r="35" spans="2:12">
      <c r="B35" s="68"/>
      <c r="C35" s="534" t="s">
        <v>43</v>
      </c>
      <c r="D35" s="534"/>
      <c r="E35" s="224">
        <v>0</v>
      </c>
      <c r="F35" s="224">
        <v>0</v>
      </c>
      <c r="G35" s="64"/>
      <c r="H35" s="420"/>
      <c r="I35" s="420"/>
      <c r="J35" s="225"/>
      <c r="K35" s="225"/>
      <c r="L35" s="61"/>
    </row>
    <row r="36" spans="2:12">
      <c r="B36" s="68"/>
      <c r="C36" s="534" t="s">
        <v>45</v>
      </c>
      <c r="D36" s="534"/>
      <c r="E36" s="224">
        <v>0</v>
      </c>
      <c r="F36" s="224">
        <v>0</v>
      </c>
      <c r="G36" s="64"/>
      <c r="H36" s="536" t="s">
        <v>48</v>
      </c>
      <c r="I36" s="536"/>
      <c r="J36" s="185">
        <f>J38+J44+J52</f>
        <v>1173480.8799999999</v>
      </c>
      <c r="K36" s="185">
        <f>K38+K44+K52</f>
        <v>0</v>
      </c>
      <c r="L36" s="61"/>
    </row>
    <row r="37" spans="2:12">
      <c r="B37" s="66"/>
      <c r="C37" s="420"/>
      <c r="D37" s="93"/>
      <c r="E37" s="225"/>
      <c r="F37" s="225"/>
      <c r="G37" s="64"/>
      <c r="H37" s="420"/>
      <c r="I37" s="420"/>
      <c r="J37" s="223"/>
      <c r="K37" s="223"/>
      <c r="L37" s="61"/>
    </row>
    <row r="38" spans="2:12">
      <c r="B38" s="68"/>
      <c r="C38" s="49"/>
      <c r="D38" s="49"/>
      <c r="E38" s="49"/>
      <c r="F38" s="49"/>
      <c r="G38" s="64"/>
      <c r="H38" s="536" t="s">
        <v>50</v>
      </c>
      <c r="I38" s="536"/>
      <c r="J38" s="185">
        <f>SUM(J40:J42)</f>
        <v>0</v>
      </c>
      <c r="K38" s="185">
        <f>SUM(K40:K42)</f>
        <v>0</v>
      </c>
      <c r="L38" s="61"/>
    </row>
    <row r="39" spans="2:12">
      <c r="B39" s="66"/>
      <c r="C39" s="49"/>
      <c r="D39" s="49"/>
      <c r="E39" s="49"/>
      <c r="F39" s="49"/>
      <c r="G39" s="64"/>
      <c r="H39" s="420"/>
      <c r="I39" s="420"/>
      <c r="J39" s="223"/>
      <c r="K39" s="223"/>
      <c r="L39" s="61"/>
    </row>
    <row r="40" spans="2:12">
      <c r="B40" s="68"/>
      <c r="C40" s="49"/>
      <c r="D40" s="49"/>
      <c r="E40" s="49"/>
      <c r="F40" s="49"/>
      <c r="G40" s="64"/>
      <c r="H40" s="534" t="s">
        <v>51</v>
      </c>
      <c r="I40" s="534"/>
      <c r="J40" s="224">
        <v>0</v>
      </c>
      <c r="K40" s="224">
        <v>0</v>
      </c>
      <c r="L40" s="61"/>
    </row>
    <row r="41" spans="2:12">
      <c r="B41" s="66"/>
      <c r="C41" s="49"/>
      <c r="D41" s="49"/>
      <c r="E41" s="49"/>
      <c r="F41" s="49"/>
      <c r="G41" s="64"/>
      <c r="H41" s="534" t="s">
        <v>52</v>
      </c>
      <c r="I41" s="534"/>
      <c r="J41" s="224">
        <v>0</v>
      </c>
      <c r="K41" s="224">
        <v>0</v>
      </c>
      <c r="L41" s="61"/>
    </row>
    <row r="42" spans="2:12">
      <c r="B42" s="68"/>
      <c r="C42" s="49"/>
      <c r="D42" s="49"/>
      <c r="E42" s="49"/>
      <c r="F42" s="49"/>
      <c r="G42" s="64"/>
      <c r="H42" s="534" t="s">
        <v>53</v>
      </c>
      <c r="I42" s="534"/>
      <c r="J42" s="224">
        <v>0</v>
      </c>
      <c r="K42" s="224">
        <v>0</v>
      </c>
      <c r="L42" s="61"/>
    </row>
    <row r="43" spans="2:12">
      <c r="B43" s="68"/>
      <c r="C43" s="49"/>
      <c r="D43" s="49"/>
      <c r="E43" s="49"/>
      <c r="F43" s="49"/>
      <c r="G43" s="64"/>
      <c r="H43" s="420"/>
      <c r="I43" s="420"/>
      <c r="J43" s="223"/>
      <c r="K43" s="223"/>
      <c r="L43" s="61"/>
    </row>
    <row r="44" spans="2:12">
      <c r="B44" s="68"/>
      <c r="C44" s="49"/>
      <c r="D44" s="49"/>
      <c r="E44" s="49"/>
      <c r="F44" s="49"/>
      <c r="G44" s="64"/>
      <c r="H44" s="536" t="s">
        <v>54</v>
      </c>
      <c r="I44" s="536"/>
      <c r="J44" s="185">
        <f>SUM(J46:J50)</f>
        <v>1173480.8799999999</v>
      </c>
      <c r="K44" s="185">
        <f>SUM(K46:K50)</f>
        <v>0</v>
      </c>
      <c r="L44" s="61"/>
    </row>
    <row r="45" spans="2:12">
      <c r="B45" s="68"/>
      <c r="C45" s="49"/>
      <c r="D45" s="49"/>
      <c r="E45" s="49"/>
      <c r="F45" s="49"/>
      <c r="G45" s="64"/>
      <c r="H45" s="420"/>
      <c r="I45" s="420"/>
      <c r="J45" s="223"/>
      <c r="K45" s="223"/>
      <c r="L45" s="61"/>
    </row>
    <row r="46" spans="2:12">
      <c r="B46" s="68"/>
      <c r="C46" s="49"/>
      <c r="D46" s="49"/>
      <c r="E46" s="49"/>
      <c r="F46" s="49"/>
      <c r="G46" s="64"/>
      <c r="H46" s="534" t="s">
        <v>55</v>
      </c>
      <c r="I46" s="534"/>
      <c r="J46" s="224">
        <v>37061.19</v>
      </c>
      <c r="K46" s="224">
        <v>0</v>
      </c>
      <c r="L46" s="61"/>
    </row>
    <row r="47" spans="2:12">
      <c r="B47" s="68"/>
      <c r="C47" s="49"/>
      <c r="D47" s="49"/>
      <c r="E47" s="49"/>
      <c r="F47" s="49"/>
      <c r="G47" s="64"/>
      <c r="H47" s="534" t="s">
        <v>56</v>
      </c>
      <c r="I47" s="534"/>
      <c r="J47" s="224">
        <v>1136419.69</v>
      </c>
      <c r="K47" s="224">
        <v>0</v>
      </c>
      <c r="L47" s="61"/>
    </row>
    <row r="48" spans="2:12">
      <c r="B48" s="68"/>
      <c r="C48" s="49"/>
      <c r="D48" s="49"/>
      <c r="E48" s="49"/>
      <c r="F48" s="49"/>
      <c r="G48" s="64"/>
      <c r="H48" s="534" t="s">
        <v>57</v>
      </c>
      <c r="I48" s="534"/>
      <c r="J48" s="224">
        <v>0</v>
      </c>
      <c r="K48" s="224">
        <v>0</v>
      </c>
      <c r="L48" s="61"/>
    </row>
    <row r="49" spans="2:12">
      <c r="B49" s="68"/>
      <c r="C49" s="49"/>
      <c r="D49" s="49"/>
      <c r="E49" s="49"/>
      <c r="F49" s="49"/>
      <c r="G49" s="64"/>
      <c r="H49" s="534" t="s">
        <v>58</v>
      </c>
      <c r="I49" s="534"/>
      <c r="J49" s="224">
        <v>0</v>
      </c>
      <c r="K49" s="224">
        <v>0</v>
      </c>
      <c r="L49" s="61"/>
    </row>
    <row r="50" spans="2:12">
      <c r="B50" s="66"/>
      <c r="C50" s="49"/>
      <c r="D50" s="49"/>
      <c r="E50" s="49"/>
      <c r="F50" s="49"/>
      <c r="G50" s="64"/>
      <c r="H50" s="534" t="s">
        <v>59</v>
      </c>
      <c r="I50" s="534"/>
      <c r="J50" s="224">
        <v>0</v>
      </c>
      <c r="K50" s="224">
        <v>0</v>
      </c>
      <c r="L50" s="61"/>
    </row>
    <row r="51" spans="2:12">
      <c r="B51" s="68"/>
      <c r="C51" s="49"/>
      <c r="D51" s="49"/>
      <c r="E51" s="49"/>
      <c r="F51" s="49"/>
      <c r="G51" s="64"/>
      <c r="H51" s="420"/>
      <c r="I51" s="420"/>
      <c r="J51" s="223"/>
      <c r="K51" s="223"/>
      <c r="L51" s="61"/>
    </row>
    <row r="52" spans="2:12">
      <c r="B52" s="66"/>
      <c r="C52" s="49"/>
      <c r="D52" s="49"/>
      <c r="E52" s="49"/>
      <c r="F52" s="49"/>
      <c r="G52" s="64"/>
      <c r="H52" s="536" t="s">
        <v>198</v>
      </c>
      <c r="I52" s="536"/>
      <c r="J52" s="185">
        <f>SUM(J54:J55)</f>
        <v>0</v>
      </c>
      <c r="K52" s="185">
        <f>SUM(K54:K55)</f>
        <v>0</v>
      </c>
      <c r="L52" s="61"/>
    </row>
    <row r="53" spans="2:12" ht="6.75" customHeight="1">
      <c r="B53" s="68"/>
      <c r="C53" s="49"/>
      <c r="D53" s="49"/>
      <c r="E53" s="49"/>
      <c r="F53" s="49"/>
      <c r="G53" s="64"/>
      <c r="H53" s="420"/>
      <c r="I53" s="420"/>
      <c r="J53" s="223"/>
      <c r="K53" s="223"/>
      <c r="L53" s="61"/>
    </row>
    <row r="54" spans="2:12">
      <c r="B54" s="68"/>
      <c r="C54" s="49"/>
      <c r="D54" s="49"/>
      <c r="E54" s="49"/>
      <c r="F54" s="49"/>
      <c r="G54" s="64"/>
      <c r="H54" s="534" t="s">
        <v>61</v>
      </c>
      <c r="I54" s="534"/>
      <c r="J54" s="224">
        <v>0</v>
      </c>
      <c r="K54" s="224">
        <v>0</v>
      </c>
      <c r="L54" s="61"/>
    </row>
    <row r="55" spans="2:12">
      <c r="B55" s="226"/>
      <c r="C55" s="80"/>
      <c r="D55" s="80"/>
      <c r="E55" s="80"/>
      <c r="F55" s="80"/>
      <c r="G55" s="149"/>
      <c r="H55" s="582" t="s">
        <v>62</v>
      </c>
      <c r="I55" s="582"/>
      <c r="J55" s="227">
        <v>0</v>
      </c>
      <c r="K55" s="227">
        <v>0</v>
      </c>
      <c r="L55" s="82"/>
    </row>
    <row r="56" spans="2:12">
      <c r="B56" s="228"/>
      <c r="C56" s="80"/>
      <c r="D56" s="83"/>
      <c r="E56" s="84"/>
      <c r="F56" s="85"/>
      <c r="G56" s="85"/>
      <c r="H56" s="80"/>
      <c r="I56" s="229"/>
      <c r="J56" s="84"/>
      <c r="K56" s="85"/>
      <c r="L56" s="85"/>
    </row>
    <row r="57" spans="2:12">
      <c r="B57" s="49"/>
      <c r="D57" s="70"/>
      <c r="E57" s="88"/>
      <c r="F57" s="89"/>
      <c r="G57" s="89"/>
      <c r="I57" s="230"/>
      <c r="J57" s="88"/>
      <c r="K57" s="89"/>
      <c r="L57" s="89"/>
    </row>
    <row r="58" spans="2:12">
      <c r="C58" s="539" t="s">
        <v>65</v>
      </c>
      <c r="D58" s="539"/>
      <c r="E58" s="539"/>
      <c r="F58" s="539"/>
      <c r="G58" s="539"/>
      <c r="H58" s="539"/>
      <c r="I58" s="539"/>
      <c r="J58" s="539"/>
      <c r="K58" s="539"/>
    </row>
    <row r="59" spans="2:12">
      <c r="C59" s="70"/>
      <c r="D59" s="88"/>
      <c r="E59" s="89"/>
      <c r="F59" s="89"/>
      <c r="H59" s="90"/>
      <c r="I59" s="231"/>
      <c r="J59" s="89"/>
      <c r="K59" s="89"/>
    </row>
    <row r="60" spans="2:12">
      <c r="C60" s="70"/>
      <c r="D60" s="540"/>
      <c r="E60" s="540"/>
      <c r="F60" s="89"/>
      <c r="H60" s="541"/>
      <c r="I60" s="541"/>
      <c r="J60" s="89"/>
      <c r="K60" s="89"/>
    </row>
    <row r="61" spans="2:12">
      <c r="C61" s="92"/>
      <c r="D61" s="531" t="s">
        <v>437</v>
      </c>
      <c r="E61" s="531"/>
      <c r="F61" s="89"/>
      <c r="G61" s="89"/>
      <c r="H61" s="531" t="s">
        <v>422</v>
      </c>
      <c r="I61" s="531"/>
      <c r="J61" s="93"/>
      <c r="K61" s="89"/>
    </row>
    <row r="62" spans="2:12" ht="15" customHeight="1">
      <c r="C62" s="94"/>
      <c r="D62" s="529" t="s">
        <v>438</v>
      </c>
      <c r="E62" s="529"/>
      <c r="F62" s="95"/>
      <c r="G62" s="95"/>
      <c r="H62" s="529" t="s">
        <v>423</v>
      </c>
      <c r="I62" s="529"/>
      <c r="J62" s="93"/>
      <c r="K62" s="89"/>
    </row>
    <row r="63" spans="2:12">
      <c r="B63" s="422"/>
      <c r="G63" s="64"/>
    </row>
  </sheetData>
  <sheetProtection password="DF2C" sheet="1" objects="1" scenarios="1" formatCells="0" formatColumns="0" formatRows="0"/>
  <mergeCells count="64">
    <mergeCell ref="D62:E62"/>
    <mergeCell ref="H62:I62"/>
    <mergeCell ref="H55:I55"/>
    <mergeCell ref="C58:K58"/>
    <mergeCell ref="D60:E60"/>
    <mergeCell ref="H60:I60"/>
    <mergeCell ref="D61:E61"/>
    <mergeCell ref="H61:I61"/>
    <mergeCell ref="H54:I54"/>
    <mergeCell ref="H38:I38"/>
    <mergeCell ref="H40:I40"/>
    <mergeCell ref="H41:I41"/>
    <mergeCell ref="H42:I42"/>
    <mergeCell ref="H44:I44"/>
    <mergeCell ref="H46:I46"/>
    <mergeCell ref="H47:I47"/>
    <mergeCell ref="H48:I48"/>
    <mergeCell ref="H49:I49"/>
    <mergeCell ref="H50:I50"/>
    <mergeCell ref="H52:I52"/>
    <mergeCell ref="C36:D36"/>
    <mergeCell ref="H36:I36"/>
    <mergeCell ref="C30:D30"/>
    <mergeCell ref="H30:I30"/>
    <mergeCell ref="C31:D31"/>
    <mergeCell ref="H31:I31"/>
    <mergeCell ref="C32:D32"/>
    <mergeCell ref="H32:I32"/>
    <mergeCell ref="C33:D33"/>
    <mergeCell ref="H33:I33"/>
    <mergeCell ref="C34:D34"/>
    <mergeCell ref="H34:I34"/>
    <mergeCell ref="C35:D35"/>
    <mergeCell ref="H25:I25"/>
    <mergeCell ref="C26:D26"/>
    <mergeCell ref="H27:I27"/>
    <mergeCell ref="C28:D28"/>
    <mergeCell ref="C29:D29"/>
    <mergeCell ref="H29:I29"/>
    <mergeCell ref="C22:D22"/>
    <mergeCell ref="H22:I22"/>
    <mergeCell ref="C23:D23"/>
    <mergeCell ref="H23:I23"/>
    <mergeCell ref="C24:D24"/>
    <mergeCell ref="H24:I24"/>
    <mergeCell ref="C19:D19"/>
    <mergeCell ref="H19:I19"/>
    <mergeCell ref="C20:D20"/>
    <mergeCell ref="H20:I20"/>
    <mergeCell ref="C21:D21"/>
    <mergeCell ref="H21:I21"/>
    <mergeCell ref="C14:D14"/>
    <mergeCell ref="H14:I14"/>
    <mergeCell ref="C16:D16"/>
    <mergeCell ref="H16:I16"/>
    <mergeCell ref="C18:D18"/>
    <mergeCell ref="H18:I18"/>
    <mergeCell ref="C11:D11"/>
    <mergeCell ref="H11:I11"/>
    <mergeCell ref="D3:J3"/>
    <mergeCell ref="D4:J4"/>
    <mergeCell ref="D5:J5"/>
    <mergeCell ref="D6:J6"/>
    <mergeCell ref="D7:J7"/>
  </mergeCells>
  <pageMargins left="0.70866141732283472" right="0.70866141732283472" top="0.74803149606299213" bottom="0.74803149606299213" header="0.31496062992125984" footer="0.31496062992125984"/>
  <pageSetup scale="5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"/>
  <sheetViews>
    <sheetView topLeftCell="A10" workbookViewId="0">
      <selection activeCell="L27" sqref="L2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B3:J65536"/>
  <sheetViews>
    <sheetView showGridLines="0" topLeftCell="A43" zoomScale="80" zoomScaleNormal="80" workbookViewId="0">
      <selection activeCell="E11" sqref="E11:J57"/>
    </sheetView>
  </sheetViews>
  <sheetFormatPr baseColWidth="10" defaultColWidth="0" defaultRowHeight="15"/>
  <cols>
    <col min="1" max="3" width="11.42578125" customWidth="1"/>
    <col min="4" max="4" width="36" customWidth="1"/>
    <col min="5" max="10" width="21" customWidth="1"/>
    <col min="11" max="11" width="11.42578125" customWidth="1"/>
    <col min="257" max="259" width="11.42578125" customWidth="1"/>
    <col min="260" max="260" width="36" customWidth="1"/>
    <col min="261" max="266" width="21" customWidth="1"/>
    <col min="267" max="267" width="11.42578125" customWidth="1"/>
    <col min="513" max="515" width="11.42578125" customWidth="1"/>
    <col min="516" max="516" width="36" customWidth="1"/>
    <col min="517" max="522" width="21" customWidth="1"/>
    <col min="523" max="523" width="11.42578125" customWidth="1"/>
    <col min="769" max="771" width="11.42578125" customWidth="1"/>
    <col min="772" max="772" width="36" customWidth="1"/>
    <col min="773" max="778" width="21" customWidth="1"/>
    <col min="779" max="779" width="11.42578125" customWidth="1"/>
    <col min="1025" max="1027" width="11.42578125" customWidth="1"/>
    <col min="1028" max="1028" width="36" customWidth="1"/>
    <col min="1029" max="1034" width="21" customWidth="1"/>
    <col min="1035" max="1035" width="11.42578125" customWidth="1"/>
    <col min="1281" max="1283" width="11.42578125" customWidth="1"/>
    <col min="1284" max="1284" width="36" customWidth="1"/>
    <col min="1285" max="1290" width="21" customWidth="1"/>
    <col min="1291" max="1291" width="11.42578125" customWidth="1"/>
    <col min="1537" max="1539" width="11.42578125" customWidth="1"/>
    <col min="1540" max="1540" width="36" customWidth="1"/>
    <col min="1541" max="1546" width="21" customWidth="1"/>
    <col min="1547" max="1547" width="11.42578125" customWidth="1"/>
    <col min="1793" max="1795" width="11.42578125" customWidth="1"/>
    <col min="1796" max="1796" width="36" customWidth="1"/>
    <col min="1797" max="1802" width="21" customWidth="1"/>
    <col min="1803" max="1803" width="11.42578125" customWidth="1"/>
    <col min="2049" max="2051" width="11.42578125" customWidth="1"/>
    <col min="2052" max="2052" width="36" customWidth="1"/>
    <col min="2053" max="2058" width="21" customWidth="1"/>
    <col min="2059" max="2059" width="11.42578125" customWidth="1"/>
    <col min="2305" max="2307" width="11.42578125" customWidth="1"/>
    <col min="2308" max="2308" width="36" customWidth="1"/>
    <col min="2309" max="2314" width="21" customWidth="1"/>
    <col min="2315" max="2315" width="11.42578125" customWidth="1"/>
    <col min="2561" max="2563" width="11.42578125" customWidth="1"/>
    <col min="2564" max="2564" width="36" customWidth="1"/>
    <col min="2565" max="2570" width="21" customWidth="1"/>
    <col min="2571" max="2571" width="11.42578125" customWidth="1"/>
    <col min="2817" max="2819" width="11.42578125" customWidth="1"/>
    <col min="2820" max="2820" width="36" customWidth="1"/>
    <col min="2821" max="2826" width="21" customWidth="1"/>
    <col min="2827" max="2827" width="11.42578125" customWidth="1"/>
    <col min="3073" max="3075" width="11.42578125" customWidth="1"/>
    <col min="3076" max="3076" width="36" customWidth="1"/>
    <col min="3077" max="3082" width="21" customWidth="1"/>
    <col min="3083" max="3083" width="11.42578125" customWidth="1"/>
    <col min="3329" max="3331" width="11.42578125" customWidth="1"/>
    <col min="3332" max="3332" width="36" customWidth="1"/>
    <col min="3333" max="3338" width="21" customWidth="1"/>
    <col min="3339" max="3339" width="11.42578125" customWidth="1"/>
    <col min="3585" max="3587" width="11.42578125" customWidth="1"/>
    <col min="3588" max="3588" width="36" customWidth="1"/>
    <col min="3589" max="3594" width="21" customWidth="1"/>
    <col min="3595" max="3595" width="11.42578125" customWidth="1"/>
    <col min="3841" max="3843" width="11.42578125" customWidth="1"/>
    <col min="3844" max="3844" width="36" customWidth="1"/>
    <col min="3845" max="3850" width="21" customWidth="1"/>
    <col min="3851" max="3851" width="11.42578125" customWidth="1"/>
    <col min="4097" max="4099" width="11.42578125" customWidth="1"/>
    <col min="4100" max="4100" width="36" customWidth="1"/>
    <col min="4101" max="4106" width="21" customWidth="1"/>
    <col min="4107" max="4107" width="11.42578125" customWidth="1"/>
    <col min="4353" max="4355" width="11.42578125" customWidth="1"/>
    <col min="4356" max="4356" width="36" customWidth="1"/>
    <col min="4357" max="4362" width="21" customWidth="1"/>
    <col min="4363" max="4363" width="11.42578125" customWidth="1"/>
    <col min="4609" max="4611" width="11.42578125" customWidth="1"/>
    <col min="4612" max="4612" width="36" customWidth="1"/>
    <col min="4613" max="4618" width="21" customWidth="1"/>
    <col min="4619" max="4619" width="11.42578125" customWidth="1"/>
    <col min="4865" max="4867" width="11.42578125" customWidth="1"/>
    <col min="4868" max="4868" width="36" customWidth="1"/>
    <col min="4869" max="4874" width="21" customWidth="1"/>
    <col min="4875" max="4875" width="11.42578125" customWidth="1"/>
    <col min="5121" max="5123" width="11.42578125" customWidth="1"/>
    <col min="5124" max="5124" width="36" customWidth="1"/>
    <col min="5125" max="5130" width="21" customWidth="1"/>
    <col min="5131" max="5131" width="11.42578125" customWidth="1"/>
    <col min="5377" max="5379" width="11.42578125" customWidth="1"/>
    <col min="5380" max="5380" width="36" customWidth="1"/>
    <col min="5381" max="5386" width="21" customWidth="1"/>
    <col min="5387" max="5387" width="11.42578125" customWidth="1"/>
    <col min="5633" max="5635" width="11.42578125" customWidth="1"/>
    <col min="5636" max="5636" width="36" customWidth="1"/>
    <col min="5637" max="5642" width="21" customWidth="1"/>
    <col min="5643" max="5643" width="11.42578125" customWidth="1"/>
    <col min="5889" max="5891" width="11.42578125" customWidth="1"/>
    <col min="5892" max="5892" width="36" customWidth="1"/>
    <col min="5893" max="5898" width="21" customWidth="1"/>
    <col min="5899" max="5899" width="11.42578125" customWidth="1"/>
    <col min="6145" max="6147" width="11.42578125" customWidth="1"/>
    <col min="6148" max="6148" width="36" customWidth="1"/>
    <col min="6149" max="6154" width="21" customWidth="1"/>
    <col min="6155" max="6155" width="11.42578125" customWidth="1"/>
    <col min="6401" max="6403" width="11.42578125" customWidth="1"/>
    <col min="6404" max="6404" width="36" customWidth="1"/>
    <col min="6405" max="6410" width="21" customWidth="1"/>
    <col min="6411" max="6411" width="11.42578125" customWidth="1"/>
    <col min="6657" max="6659" width="11.42578125" customWidth="1"/>
    <col min="6660" max="6660" width="36" customWidth="1"/>
    <col min="6661" max="6666" width="21" customWidth="1"/>
    <col min="6667" max="6667" width="11.42578125" customWidth="1"/>
    <col min="6913" max="6915" width="11.42578125" customWidth="1"/>
    <col min="6916" max="6916" width="36" customWidth="1"/>
    <col min="6917" max="6922" width="21" customWidth="1"/>
    <col min="6923" max="6923" width="11.42578125" customWidth="1"/>
    <col min="7169" max="7171" width="11.42578125" customWidth="1"/>
    <col min="7172" max="7172" width="36" customWidth="1"/>
    <col min="7173" max="7178" width="21" customWidth="1"/>
    <col min="7179" max="7179" width="11.42578125" customWidth="1"/>
    <col min="7425" max="7427" width="11.42578125" customWidth="1"/>
    <col min="7428" max="7428" width="36" customWidth="1"/>
    <col min="7429" max="7434" width="21" customWidth="1"/>
    <col min="7435" max="7435" width="11.42578125" customWidth="1"/>
    <col min="7681" max="7683" width="11.42578125" customWidth="1"/>
    <col min="7684" max="7684" width="36" customWidth="1"/>
    <col min="7685" max="7690" width="21" customWidth="1"/>
    <col min="7691" max="7691" width="11.42578125" customWidth="1"/>
    <col min="7937" max="7939" width="11.42578125" customWidth="1"/>
    <col min="7940" max="7940" width="36" customWidth="1"/>
    <col min="7941" max="7946" width="21" customWidth="1"/>
    <col min="7947" max="7947" width="11.42578125" customWidth="1"/>
    <col min="8193" max="8195" width="11.42578125" customWidth="1"/>
    <col min="8196" max="8196" width="36" customWidth="1"/>
    <col min="8197" max="8202" width="21" customWidth="1"/>
    <col min="8203" max="8203" width="11.42578125" customWidth="1"/>
    <col min="8449" max="8451" width="11.42578125" customWidth="1"/>
    <col min="8452" max="8452" width="36" customWidth="1"/>
    <col min="8453" max="8458" width="21" customWidth="1"/>
    <col min="8459" max="8459" width="11.42578125" customWidth="1"/>
    <col min="8705" max="8707" width="11.42578125" customWidth="1"/>
    <col min="8708" max="8708" width="36" customWidth="1"/>
    <col min="8709" max="8714" width="21" customWidth="1"/>
    <col min="8715" max="8715" width="11.42578125" customWidth="1"/>
    <col min="8961" max="8963" width="11.42578125" customWidth="1"/>
    <col min="8964" max="8964" width="36" customWidth="1"/>
    <col min="8965" max="8970" width="21" customWidth="1"/>
    <col min="8971" max="8971" width="11.42578125" customWidth="1"/>
    <col min="9217" max="9219" width="11.42578125" customWidth="1"/>
    <col min="9220" max="9220" width="36" customWidth="1"/>
    <col min="9221" max="9226" width="21" customWidth="1"/>
    <col min="9227" max="9227" width="11.42578125" customWidth="1"/>
    <col min="9473" max="9475" width="11.42578125" customWidth="1"/>
    <col min="9476" max="9476" width="36" customWidth="1"/>
    <col min="9477" max="9482" width="21" customWidth="1"/>
    <col min="9483" max="9483" width="11.42578125" customWidth="1"/>
    <col min="9729" max="9731" width="11.42578125" customWidth="1"/>
    <col min="9732" max="9732" width="36" customWidth="1"/>
    <col min="9733" max="9738" width="21" customWidth="1"/>
    <col min="9739" max="9739" width="11.42578125" customWidth="1"/>
    <col min="9985" max="9987" width="11.42578125" customWidth="1"/>
    <col min="9988" max="9988" width="36" customWidth="1"/>
    <col min="9989" max="9994" width="21" customWidth="1"/>
    <col min="9995" max="9995" width="11.42578125" customWidth="1"/>
    <col min="10241" max="10243" width="11.42578125" customWidth="1"/>
    <col min="10244" max="10244" width="36" customWidth="1"/>
    <col min="10245" max="10250" width="21" customWidth="1"/>
    <col min="10251" max="10251" width="11.42578125" customWidth="1"/>
    <col min="10497" max="10499" width="11.42578125" customWidth="1"/>
    <col min="10500" max="10500" width="36" customWidth="1"/>
    <col min="10501" max="10506" width="21" customWidth="1"/>
    <col min="10507" max="10507" width="11.42578125" customWidth="1"/>
    <col min="10753" max="10755" width="11.42578125" customWidth="1"/>
    <col min="10756" max="10756" width="36" customWidth="1"/>
    <col min="10757" max="10762" width="21" customWidth="1"/>
    <col min="10763" max="10763" width="11.42578125" customWidth="1"/>
    <col min="11009" max="11011" width="11.42578125" customWidth="1"/>
    <col min="11012" max="11012" width="36" customWidth="1"/>
    <col min="11013" max="11018" width="21" customWidth="1"/>
    <col min="11019" max="11019" width="11.42578125" customWidth="1"/>
    <col min="11265" max="11267" width="11.42578125" customWidth="1"/>
    <col min="11268" max="11268" width="36" customWidth="1"/>
    <col min="11269" max="11274" width="21" customWidth="1"/>
    <col min="11275" max="11275" width="11.42578125" customWidth="1"/>
    <col min="11521" max="11523" width="11.42578125" customWidth="1"/>
    <col min="11524" max="11524" width="36" customWidth="1"/>
    <col min="11525" max="11530" width="21" customWidth="1"/>
    <col min="11531" max="11531" width="11.42578125" customWidth="1"/>
    <col min="11777" max="11779" width="11.42578125" customWidth="1"/>
    <col min="11780" max="11780" width="36" customWidth="1"/>
    <col min="11781" max="11786" width="21" customWidth="1"/>
    <col min="11787" max="11787" width="11.42578125" customWidth="1"/>
    <col min="12033" max="12035" width="11.42578125" customWidth="1"/>
    <col min="12036" max="12036" width="36" customWidth="1"/>
    <col min="12037" max="12042" width="21" customWidth="1"/>
    <col min="12043" max="12043" width="11.42578125" customWidth="1"/>
    <col min="12289" max="12291" width="11.42578125" customWidth="1"/>
    <col min="12292" max="12292" width="36" customWidth="1"/>
    <col min="12293" max="12298" width="21" customWidth="1"/>
    <col min="12299" max="12299" width="11.42578125" customWidth="1"/>
    <col min="12545" max="12547" width="11.42578125" customWidth="1"/>
    <col min="12548" max="12548" width="36" customWidth="1"/>
    <col min="12549" max="12554" width="21" customWidth="1"/>
    <col min="12555" max="12555" width="11.42578125" customWidth="1"/>
    <col min="12801" max="12803" width="11.42578125" customWidth="1"/>
    <col min="12804" max="12804" width="36" customWidth="1"/>
    <col min="12805" max="12810" width="21" customWidth="1"/>
    <col min="12811" max="12811" width="11.42578125" customWidth="1"/>
    <col min="13057" max="13059" width="11.42578125" customWidth="1"/>
    <col min="13060" max="13060" width="36" customWidth="1"/>
    <col min="13061" max="13066" width="21" customWidth="1"/>
    <col min="13067" max="13067" width="11.42578125" customWidth="1"/>
    <col min="13313" max="13315" width="11.42578125" customWidth="1"/>
    <col min="13316" max="13316" width="36" customWidth="1"/>
    <col min="13317" max="13322" width="21" customWidth="1"/>
    <col min="13323" max="13323" width="11.42578125" customWidth="1"/>
    <col min="13569" max="13571" width="11.42578125" customWidth="1"/>
    <col min="13572" max="13572" width="36" customWidth="1"/>
    <col min="13573" max="13578" width="21" customWidth="1"/>
    <col min="13579" max="13579" width="11.42578125" customWidth="1"/>
    <col min="13825" max="13827" width="11.42578125" customWidth="1"/>
    <col min="13828" max="13828" width="36" customWidth="1"/>
    <col min="13829" max="13834" width="21" customWidth="1"/>
    <col min="13835" max="13835" width="11.42578125" customWidth="1"/>
    <col min="14081" max="14083" width="11.42578125" customWidth="1"/>
    <col min="14084" max="14084" width="36" customWidth="1"/>
    <col min="14085" max="14090" width="21" customWidth="1"/>
    <col min="14091" max="14091" width="11.42578125" customWidth="1"/>
    <col min="14337" max="14339" width="11.42578125" customWidth="1"/>
    <col min="14340" max="14340" width="36" customWidth="1"/>
    <col min="14341" max="14346" width="21" customWidth="1"/>
    <col min="14347" max="14347" width="11.42578125" customWidth="1"/>
    <col min="14593" max="14595" width="11.42578125" customWidth="1"/>
    <col min="14596" max="14596" width="36" customWidth="1"/>
    <col min="14597" max="14602" width="21" customWidth="1"/>
    <col min="14603" max="14603" width="11.42578125" customWidth="1"/>
    <col min="14849" max="14851" width="11.42578125" customWidth="1"/>
    <col min="14852" max="14852" width="36" customWidth="1"/>
    <col min="14853" max="14858" width="21" customWidth="1"/>
    <col min="14859" max="14859" width="11.42578125" customWidth="1"/>
    <col min="15105" max="15107" width="11.42578125" customWidth="1"/>
    <col min="15108" max="15108" width="36" customWidth="1"/>
    <col min="15109" max="15114" width="21" customWidth="1"/>
    <col min="15115" max="15115" width="11.42578125" customWidth="1"/>
    <col min="15361" max="15363" width="11.42578125" customWidth="1"/>
    <col min="15364" max="15364" width="36" customWidth="1"/>
    <col min="15365" max="15370" width="21" customWidth="1"/>
    <col min="15371" max="15371" width="11.42578125" customWidth="1"/>
    <col min="15617" max="15619" width="11.42578125" customWidth="1"/>
    <col min="15620" max="15620" width="36" customWidth="1"/>
    <col min="15621" max="15626" width="21" customWidth="1"/>
    <col min="15627" max="15627" width="11.42578125" customWidth="1"/>
    <col min="15873" max="15875" width="11.42578125" customWidth="1"/>
    <col min="15876" max="15876" width="36" customWidth="1"/>
    <col min="15877" max="15882" width="21" customWidth="1"/>
    <col min="15883" max="15883" width="11.42578125" customWidth="1"/>
    <col min="16129" max="16131" width="11.42578125" customWidth="1"/>
    <col min="16132" max="16132" width="36" customWidth="1"/>
    <col min="16133" max="16138" width="21" customWidth="1"/>
    <col min="16139" max="16139" width="11.42578125" customWidth="1"/>
  </cols>
  <sheetData>
    <row r="3" spans="2:10">
      <c r="B3" s="604" t="s">
        <v>412</v>
      </c>
      <c r="C3" s="605"/>
      <c r="D3" s="605"/>
      <c r="E3" s="605"/>
      <c r="F3" s="605"/>
      <c r="G3" s="605"/>
      <c r="H3" s="605"/>
      <c r="I3" s="605"/>
      <c r="J3" s="606"/>
    </row>
    <row r="4" spans="2:10">
      <c r="B4" s="607" t="s">
        <v>4</v>
      </c>
      <c r="C4" s="608"/>
      <c r="D4" s="608"/>
      <c r="E4" s="608"/>
      <c r="F4" s="608"/>
      <c r="G4" s="608"/>
      <c r="H4" s="608"/>
      <c r="I4" s="608"/>
      <c r="J4" s="609"/>
    </row>
    <row r="5" spans="2:10">
      <c r="B5" s="610" t="s">
        <v>199</v>
      </c>
      <c r="C5" s="611"/>
      <c r="D5" s="611"/>
      <c r="E5" s="611"/>
      <c r="F5" s="611"/>
      <c r="G5" s="611"/>
      <c r="H5" s="611"/>
      <c r="I5" s="611"/>
      <c r="J5" s="612"/>
    </row>
    <row r="6" spans="2:10">
      <c r="B6" s="613" t="s">
        <v>416</v>
      </c>
      <c r="C6" s="614"/>
      <c r="D6" s="614"/>
      <c r="E6" s="614"/>
      <c r="F6" s="614"/>
      <c r="G6" s="614"/>
      <c r="H6" s="614"/>
      <c r="I6" s="614"/>
      <c r="J6" s="615"/>
    </row>
    <row r="7" spans="2:10">
      <c r="B7" s="233"/>
      <c r="C7" s="233"/>
      <c r="D7" s="233"/>
      <c r="E7" s="234"/>
      <c r="F7" s="235"/>
      <c r="G7" s="235"/>
      <c r="H7" s="235"/>
      <c r="I7" s="235"/>
      <c r="J7" s="235"/>
    </row>
    <row r="8" spans="2:10">
      <c r="B8" s="597" t="s">
        <v>201</v>
      </c>
      <c r="C8" s="598"/>
      <c r="D8" s="598"/>
      <c r="E8" s="616" t="s">
        <v>202</v>
      </c>
      <c r="F8" s="617"/>
      <c r="G8" s="617"/>
      <c r="H8" s="617"/>
      <c r="I8" s="618"/>
      <c r="J8" s="619" t="s">
        <v>203</v>
      </c>
    </row>
    <row r="9" spans="2:10" ht="24.75">
      <c r="B9" s="598"/>
      <c r="C9" s="598"/>
      <c r="D9" s="598"/>
      <c r="E9" s="236" t="s">
        <v>204</v>
      </c>
      <c r="F9" s="237" t="s">
        <v>205</v>
      </c>
      <c r="G9" s="236" t="s">
        <v>206</v>
      </c>
      <c r="H9" s="236" t="s">
        <v>207</v>
      </c>
      <c r="I9" s="236" t="s">
        <v>208</v>
      </c>
      <c r="J9" s="619"/>
    </row>
    <row r="10" spans="2:10">
      <c r="B10" s="599"/>
      <c r="C10" s="599"/>
      <c r="D10" s="599"/>
      <c r="E10" s="238" t="s">
        <v>209</v>
      </c>
      <c r="F10" s="238" t="s">
        <v>210</v>
      </c>
      <c r="G10" s="238" t="s">
        <v>211</v>
      </c>
      <c r="H10" s="238" t="s">
        <v>212</v>
      </c>
      <c r="I10" s="238" t="s">
        <v>213</v>
      </c>
      <c r="J10" s="238" t="s">
        <v>214</v>
      </c>
    </row>
    <row r="11" spans="2:10">
      <c r="B11" s="239"/>
      <c r="C11" s="240"/>
      <c r="D11" s="241"/>
      <c r="E11" s="437"/>
      <c r="F11" s="438"/>
      <c r="G11" s="438"/>
      <c r="H11" s="438"/>
      <c r="I11" s="438"/>
      <c r="J11" s="438"/>
    </row>
    <row r="12" spans="2:10">
      <c r="B12" s="590" t="s">
        <v>72</v>
      </c>
      <c r="C12" s="591"/>
      <c r="D12" s="592"/>
      <c r="E12" s="439"/>
      <c r="F12" s="439"/>
      <c r="G12" s="440">
        <f>E12+F12</f>
        <v>0</v>
      </c>
      <c r="H12" s="439"/>
      <c r="I12" s="439"/>
      <c r="J12" s="440">
        <f>I12-E12</f>
        <v>0</v>
      </c>
    </row>
    <row r="13" spans="2:10">
      <c r="B13" s="590" t="s">
        <v>141</v>
      </c>
      <c r="C13" s="591"/>
      <c r="D13" s="592"/>
      <c r="E13" s="439"/>
      <c r="F13" s="439"/>
      <c r="G13" s="440">
        <f>E13+F13</f>
        <v>0</v>
      </c>
      <c r="H13" s="439"/>
      <c r="I13" s="439"/>
      <c r="J13" s="440">
        <f>I13-E13</f>
        <v>0</v>
      </c>
    </row>
    <row r="14" spans="2:10">
      <c r="B14" s="590" t="s">
        <v>76</v>
      </c>
      <c r="C14" s="591"/>
      <c r="D14" s="592"/>
      <c r="E14" s="439"/>
      <c r="F14" s="439"/>
      <c r="G14" s="440">
        <f>E14+F14</f>
        <v>0</v>
      </c>
      <c r="H14" s="439"/>
      <c r="I14" s="439"/>
      <c r="J14" s="440">
        <f>I14-E14</f>
        <v>0</v>
      </c>
    </row>
    <row r="15" spans="2:10">
      <c r="B15" s="590" t="s">
        <v>78</v>
      </c>
      <c r="C15" s="591"/>
      <c r="D15" s="592"/>
      <c r="E15" s="439"/>
      <c r="F15" s="439"/>
      <c r="G15" s="440">
        <f>E15+F15</f>
        <v>0</v>
      </c>
      <c r="H15" s="439"/>
      <c r="I15" s="439"/>
      <c r="J15" s="440">
        <f>I15-E15</f>
        <v>0</v>
      </c>
    </row>
    <row r="16" spans="2:10">
      <c r="B16" s="590" t="s">
        <v>215</v>
      </c>
      <c r="C16" s="591"/>
      <c r="D16" s="592"/>
      <c r="E16" s="440">
        <f t="shared" ref="E16:J16" si="0">E17+E18</f>
        <v>120000</v>
      </c>
      <c r="F16" s="440">
        <f t="shared" si="0"/>
        <v>82388.820000000007</v>
      </c>
      <c r="G16" s="440">
        <f t="shared" si="0"/>
        <v>202388.82</v>
      </c>
      <c r="H16" s="440">
        <f t="shared" si="0"/>
        <v>202388.82</v>
      </c>
      <c r="I16" s="440">
        <f t="shared" si="0"/>
        <v>202388.82</v>
      </c>
      <c r="J16" s="440">
        <f t="shared" si="0"/>
        <v>82388.820000000007</v>
      </c>
    </row>
    <row r="17" spans="2:10">
      <c r="B17" s="242"/>
      <c r="C17" s="591" t="s">
        <v>216</v>
      </c>
      <c r="D17" s="592"/>
      <c r="E17" s="439">
        <v>120000</v>
      </c>
      <c r="F17" s="439">
        <v>82388.820000000007</v>
      </c>
      <c r="G17" s="440">
        <f>E17+F17</f>
        <v>202388.82</v>
      </c>
      <c r="H17" s="439">
        <v>202388.82</v>
      </c>
      <c r="I17" s="439">
        <v>202388.82</v>
      </c>
      <c r="J17" s="440">
        <f>I17-E17</f>
        <v>82388.820000000007</v>
      </c>
    </row>
    <row r="18" spans="2:10">
      <c r="B18" s="242"/>
      <c r="C18" s="591" t="s">
        <v>217</v>
      </c>
      <c r="D18" s="592"/>
      <c r="E18" s="439"/>
      <c r="F18" s="439"/>
      <c r="G18" s="440">
        <f>E18+F18</f>
        <v>0</v>
      </c>
      <c r="H18" s="439"/>
      <c r="I18" s="439"/>
      <c r="J18" s="440">
        <f>I18-E18</f>
        <v>0</v>
      </c>
    </row>
    <row r="19" spans="2:10">
      <c r="B19" s="590" t="s">
        <v>218</v>
      </c>
      <c r="C19" s="591"/>
      <c r="D19" s="592"/>
      <c r="E19" s="440">
        <f t="shared" ref="E19:J19" si="1">E20+E21</f>
        <v>0</v>
      </c>
      <c r="F19" s="440">
        <f t="shared" si="1"/>
        <v>0</v>
      </c>
      <c r="G19" s="440">
        <f t="shared" si="1"/>
        <v>0</v>
      </c>
      <c r="H19" s="440">
        <f t="shared" si="1"/>
        <v>0</v>
      </c>
      <c r="I19" s="440">
        <f t="shared" si="1"/>
        <v>0</v>
      </c>
      <c r="J19" s="440">
        <f t="shared" si="1"/>
        <v>0</v>
      </c>
    </row>
    <row r="20" spans="2:10">
      <c r="B20" s="242"/>
      <c r="C20" s="591" t="s">
        <v>216</v>
      </c>
      <c r="D20" s="592"/>
      <c r="E20" s="439"/>
      <c r="F20" s="439"/>
      <c r="G20" s="440">
        <f t="shared" ref="G20:G25" si="2">E20+F20</f>
        <v>0</v>
      </c>
      <c r="H20" s="439"/>
      <c r="I20" s="439"/>
      <c r="J20" s="440">
        <f t="shared" ref="J20:J25" si="3">I20-E20</f>
        <v>0</v>
      </c>
    </row>
    <row r="21" spans="2:10">
      <c r="B21" s="242"/>
      <c r="C21" s="591" t="s">
        <v>217</v>
      </c>
      <c r="D21" s="592"/>
      <c r="E21" s="439"/>
      <c r="F21" s="439"/>
      <c r="G21" s="440">
        <f t="shared" si="2"/>
        <v>0</v>
      </c>
      <c r="H21" s="439"/>
      <c r="I21" s="439"/>
      <c r="J21" s="440">
        <f t="shared" si="3"/>
        <v>0</v>
      </c>
    </row>
    <row r="22" spans="2:10">
      <c r="B22" s="590" t="s">
        <v>219</v>
      </c>
      <c r="C22" s="591"/>
      <c r="D22" s="592"/>
      <c r="E22" s="439">
        <v>1317648</v>
      </c>
      <c r="F22" s="439">
        <v>-52478</v>
      </c>
      <c r="G22" s="440">
        <f t="shared" si="2"/>
        <v>1265170</v>
      </c>
      <c r="H22" s="439">
        <v>1047200</v>
      </c>
      <c r="I22" s="439">
        <v>1047200</v>
      </c>
      <c r="J22" s="440">
        <f t="shared" si="3"/>
        <v>-270448</v>
      </c>
    </row>
    <row r="23" spans="2:10">
      <c r="B23" s="590" t="s">
        <v>90</v>
      </c>
      <c r="C23" s="591"/>
      <c r="D23" s="592"/>
      <c r="E23" s="439"/>
      <c r="F23" s="439"/>
      <c r="G23" s="440">
        <f t="shared" si="2"/>
        <v>0</v>
      </c>
      <c r="H23" s="439"/>
      <c r="I23" s="439"/>
      <c r="J23" s="440">
        <f t="shared" si="3"/>
        <v>0</v>
      </c>
    </row>
    <row r="24" spans="2:10">
      <c r="B24" s="590" t="s">
        <v>80</v>
      </c>
      <c r="C24" s="591"/>
      <c r="D24" s="592"/>
      <c r="E24" s="439">
        <v>26251113</v>
      </c>
      <c r="F24" s="439">
        <v>5305031.41</v>
      </c>
      <c r="G24" s="440">
        <f t="shared" si="2"/>
        <v>31556144.41</v>
      </c>
      <c r="H24" s="439">
        <v>31556144.510000002</v>
      </c>
      <c r="I24" s="439">
        <v>31353669.030000001</v>
      </c>
      <c r="J24" s="440">
        <f t="shared" si="3"/>
        <v>5102556.0300000012</v>
      </c>
    </row>
    <row r="25" spans="2:10">
      <c r="B25" s="590" t="s">
        <v>220</v>
      </c>
      <c r="C25" s="591"/>
      <c r="D25" s="592"/>
      <c r="E25" s="439"/>
      <c r="F25" s="439"/>
      <c r="G25" s="440">
        <f t="shared" si="2"/>
        <v>0</v>
      </c>
      <c r="H25" s="439"/>
      <c r="I25" s="439"/>
      <c r="J25" s="440">
        <f t="shared" si="3"/>
        <v>0</v>
      </c>
    </row>
    <row r="26" spans="2:10">
      <c r="B26" s="243"/>
      <c r="C26" s="244"/>
      <c r="D26" s="245"/>
      <c r="E26" s="441"/>
      <c r="F26" s="441"/>
      <c r="G26" s="441"/>
      <c r="H26" s="441"/>
      <c r="I26" s="441"/>
      <c r="J26" s="441"/>
    </row>
    <row r="27" spans="2:10">
      <c r="B27" s="246"/>
      <c r="C27" s="247"/>
      <c r="D27" s="248" t="s">
        <v>221</v>
      </c>
      <c r="E27" s="442">
        <f t="shared" ref="E27:J27" si="4">E12+E13+E14+E15+E16+E19+E22+E23+E24+E25</f>
        <v>27688761</v>
      </c>
      <c r="F27" s="442">
        <f t="shared" si="4"/>
        <v>5334942.2300000004</v>
      </c>
      <c r="G27" s="442">
        <f t="shared" si="4"/>
        <v>33023703.23</v>
      </c>
      <c r="H27" s="442">
        <f t="shared" si="4"/>
        <v>32805733.330000002</v>
      </c>
      <c r="I27" s="442">
        <f t="shared" si="4"/>
        <v>32603257.850000001</v>
      </c>
      <c r="J27" s="593">
        <f t="shared" si="4"/>
        <v>4914496.8500000015</v>
      </c>
    </row>
    <row r="28" spans="2:10">
      <c r="E28" s="443"/>
      <c r="F28" s="443"/>
      <c r="G28" s="443"/>
      <c r="H28" s="595" t="s">
        <v>222</v>
      </c>
      <c r="I28" s="596"/>
      <c r="J28" s="594"/>
    </row>
    <row r="29" spans="2:10">
      <c r="E29" s="444"/>
      <c r="F29" s="444"/>
      <c r="G29" s="444"/>
      <c r="H29" s="444"/>
      <c r="I29" s="444"/>
      <c r="J29" s="444"/>
    </row>
    <row r="30" spans="2:10">
      <c r="E30" s="444"/>
      <c r="F30" s="444"/>
      <c r="G30" s="444"/>
      <c r="H30" s="444"/>
      <c r="I30" s="444"/>
      <c r="J30" s="444"/>
    </row>
    <row r="31" spans="2:10" ht="15" customHeight="1">
      <c r="B31" s="597" t="s">
        <v>223</v>
      </c>
      <c r="C31" s="598"/>
      <c r="D31" s="598"/>
      <c r="E31" s="600" t="s">
        <v>202</v>
      </c>
      <c r="F31" s="601"/>
      <c r="G31" s="601"/>
      <c r="H31" s="601"/>
      <c r="I31" s="602"/>
      <c r="J31" s="603" t="s">
        <v>203</v>
      </c>
    </row>
    <row r="32" spans="2:10" ht="24.75">
      <c r="B32" s="598"/>
      <c r="C32" s="598"/>
      <c r="D32" s="598"/>
      <c r="E32" s="445" t="s">
        <v>204</v>
      </c>
      <c r="F32" s="446" t="s">
        <v>224</v>
      </c>
      <c r="G32" s="445" t="s">
        <v>206</v>
      </c>
      <c r="H32" s="445" t="s">
        <v>207</v>
      </c>
      <c r="I32" s="445" t="s">
        <v>208</v>
      </c>
      <c r="J32" s="603"/>
    </row>
    <row r="33" spans="2:10">
      <c r="B33" s="599"/>
      <c r="C33" s="599"/>
      <c r="D33" s="599"/>
      <c r="E33" s="447" t="s">
        <v>209</v>
      </c>
      <c r="F33" s="447" t="s">
        <v>210</v>
      </c>
      <c r="G33" s="447" t="s">
        <v>211</v>
      </c>
      <c r="H33" s="447" t="s">
        <v>212</v>
      </c>
      <c r="I33" s="447">
        <v>-5</v>
      </c>
      <c r="J33" s="447" t="s">
        <v>214</v>
      </c>
    </row>
    <row r="34" spans="2:10">
      <c r="B34" s="249"/>
      <c r="C34" s="250"/>
      <c r="D34" s="251"/>
      <c r="E34" s="448"/>
      <c r="F34" s="448"/>
      <c r="G34" s="448"/>
      <c r="H34" s="448"/>
      <c r="I34" s="448"/>
      <c r="J34" s="448"/>
    </row>
    <row r="35" spans="2:10">
      <c r="B35" s="252" t="s">
        <v>225</v>
      </c>
      <c r="C35" s="253"/>
      <c r="D35" s="254"/>
      <c r="E35" s="449">
        <f t="shared" ref="E35:J35" si="5">E36+E37+E38+E39+E42+E45+E46</f>
        <v>120000</v>
      </c>
      <c r="F35" s="449">
        <f t="shared" si="5"/>
        <v>82389</v>
      </c>
      <c r="G35" s="449">
        <f t="shared" si="5"/>
        <v>202389</v>
      </c>
      <c r="H35" s="449">
        <f t="shared" si="5"/>
        <v>202389</v>
      </c>
      <c r="I35" s="449">
        <f t="shared" si="5"/>
        <v>202389</v>
      </c>
      <c r="J35" s="449">
        <f t="shared" si="5"/>
        <v>82389</v>
      </c>
    </row>
    <row r="36" spans="2:10">
      <c r="B36" s="255"/>
      <c r="C36" s="584" t="s">
        <v>72</v>
      </c>
      <c r="D36" s="585"/>
      <c r="E36" s="450"/>
      <c r="F36" s="450"/>
      <c r="G36" s="451">
        <f>E36+F36</f>
        <v>0</v>
      </c>
      <c r="H36" s="450"/>
      <c r="I36" s="450"/>
      <c r="J36" s="451">
        <f>I36-E36</f>
        <v>0</v>
      </c>
    </row>
    <row r="37" spans="2:10">
      <c r="B37" s="255"/>
      <c r="C37" s="584" t="s">
        <v>76</v>
      </c>
      <c r="D37" s="585"/>
      <c r="E37" s="450"/>
      <c r="F37" s="450"/>
      <c r="G37" s="451">
        <f>E37+F37</f>
        <v>0</v>
      </c>
      <c r="H37" s="450"/>
      <c r="I37" s="450"/>
      <c r="J37" s="451">
        <f>I37-E37</f>
        <v>0</v>
      </c>
    </row>
    <row r="38" spans="2:10">
      <c r="B38" s="255"/>
      <c r="C38" s="584" t="s">
        <v>78</v>
      </c>
      <c r="D38" s="585"/>
      <c r="E38" s="450"/>
      <c r="F38" s="450"/>
      <c r="G38" s="451">
        <f>E38+F38</f>
        <v>0</v>
      </c>
      <c r="H38" s="450"/>
      <c r="I38" s="450"/>
      <c r="J38" s="451">
        <f>I38-E38</f>
        <v>0</v>
      </c>
    </row>
    <row r="39" spans="2:10">
      <c r="B39" s="255"/>
      <c r="C39" s="584" t="s">
        <v>215</v>
      </c>
      <c r="D39" s="585"/>
      <c r="E39" s="451">
        <f t="shared" ref="E39:J39" si="6">E40+E41</f>
        <v>120000</v>
      </c>
      <c r="F39" s="451">
        <f t="shared" si="6"/>
        <v>82389</v>
      </c>
      <c r="G39" s="451">
        <f t="shared" si="6"/>
        <v>202389</v>
      </c>
      <c r="H39" s="451">
        <f t="shared" si="6"/>
        <v>202389</v>
      </c>
      <c r="I39" s="451">
        <f t="shared" si="6"/>
        <v>202389</v>
      </c>
      <c r="J39" s="451">
        <f t="shared" si="6"/>
        <v>82389</v>
      </c>
    </row>
    <row r="40" spans="2:10">
      <c r="B40" s="255"/>
      <c r="C40" s="256"/>
      <c r="D40" s="257" t="s">
        <v>216</v>
      </c>
      <c r="E40" s="450">
        <v>120000</v>
      </c>
      <c r="F40" s="450">
        <v>82389</v>
      </c>
      <c r="G40" s="451">
        <f>E40+F40</f>
        <v>202389</v>
      </c>
      <c r="H40" s="450">
        <v>202389</v>
      </c>
      <c r="I40" s="450">
        <v>202389</v>
      </c>
      <c r="J40" s="451">
        <f>I40-E40</f>
        <v>82389</v>
      </c>
    </row>
    <row r="41" spans="2:10">
      <c r="B41" s="255"/>
      <c r="C41" s="256"/>
      <c r="D41" s="257" t="s">
        <v>217</v>
      </c>
      <c r="E41" s="450"/>
      <c r="F41" s="450"/>
      <c r="G41" s="451">
        <f>E41+F41</f>
        <v>0</v>
      </c>
      <c r="H41" s="450"/>
      <c r="I41" s="450"/>
      <c r="J41" s="451">
        <f>I41-E41</f>
        <v>0</v>
      </c>
    </row>
    <row r="42" spans="2:10">
      <c r="B42" s="255"/>
      <c r="C42" s="584" t="s">
        <v>218</v>
      </c>
      <c r="D42" s="585"/>
      <c r="E42" s="451">
        <f t="shared" ref="E42:J42" si="7">E43+E44</f>
        <v>0</v>
      </c>
      <c r="F42" s="451">
        <f t="shared" si="7"/>
        <v>0</v>
      </c>
      <c r="G42" s="451">
        <f t="shared" si="7"/>
        <v>0</v>
      </c>
      <c r="H42" s="451">
        <f t="shared" si="7"/>
        <v>0</v>
      </c>
      <c r="I42" s="451">
        <f t="shared" si="7"/>
        <v>0</v>
      </c>
      <c r="J42" s="451">
        <f t="shared" si="7"/>
        <v>0</v>
      </c>
    </row>
    <row r="43" spans="2:10">
      <c r="B43" s="255"/>
      <c r="C43" s="256"/>
      <c r="D43" s="257" t="s">
        <v>216</v>
      </c>
      <c r="E43" s="450"/>
      <c r="F43" s="450"/>
      <c r="G43" s="451">
        <f>E43+F43</f>
        <v>0</v>
      </c>
      <c r="H43" s="450"/>
      <c r="I43" s="450"/>
      <c r="J43" s="451">
        <f>I43-E43</f>
        <v>0</v>
      </c>
    </row>
    <row r="44" spans="2:10">
      <c r="B44" s="255"/>
      <c r="C44" s="256"/>
      <c r="D44" s="257" t="s">
        <v>217</v>
      </c>
      <c r="E44" s="450"/>
      <c r="F44" s="450"/>
      <c r="G44" s="451">
        <f>E44+F44</f>
        <v>0</v>
      </c>
      <c r="H44" s="450"/>
      <c r="I44" s="450"/>
      <c r="J44" s="451">
        <f>I44-E44</f>
        <v>0</v>
      </c>
    </row>
    <row r="45" spans="2:10">
      <c r="B45" s="255"/>
      <c r="C45" s="584" t="s">
        <v>90</v>
      </c>
      <c r="D45" s="585"/>
      <c r="E45" s="450"/>
      <c r="F45" s="450"/>
      <c r="G45" s="451">
        <f>E45+F45</f>
        <v>0</v>
      </c>
      <c r="H45" s="450"/>
      <c r="I45" s="450"/>
      <c r="J45" s="451">
        <f>I45-E45</f>
        <v>0</v>
      </c>
    </row>
    <row r="46" spans="2:10">
      <c r="B46" s="255"/>
      <c r="C46" s="584" t="s">
        <v>80</v>
      </c>
      <c r="D46" s="585"/>
      <c r="E46" s="450"/>
      <c r="F46" s="450"/>
      <c r="G46" s="451">
        <f>E46+F46</f>
        <v>0</v>
      </c>
      <c r="H46" s="450"/>
      <c r="I46" s="450"/>
      <c r="J46" s="451">
        <f>I46-E46</f>
        <v>0</v>
      </c>
    </row>
    <row r="47" spans="2:10">
      <c r="B47" s="255"/>
      <c r="C47" s="256"/>
      <c r="D47" s="257"/>
      <c r="E47" s="451"/>
      <c r="F47" s="451"/>
      <c r="G47" s="451"/>
      <c r="H47" s="451"/>
      <c r="I47" s="451"/>
      <c r="J47" s="451"/>
    </row>
    <row r="48" spans="2:10">
      <c r="B48" s="252" t="s">
        <v>226</v>
      </c>
      <c r="C48" s="253"/>
      <c r="D48" s="257"/>
      <c r="E48" s="452">
        <f t="shared" ref="E48:J48" si="8">E49+E50+E51</f>
        <v>27568761</v>
      </c>
      <c r="F48" s="452">
        <f t="shared" si="8"/>
        <v>5252553</v>
      </c>
      <c r="G48" s="452">
        <f t="shared" si="8"/>
        <v>32821314</v>
      </c>
      <c r="H48" s="452">
        <f t="shared" si="8"/>
        <v>32603344</v>
      </c>
      <c r="I48" s="452">
        <f t="shared" si="8"/>
        <v>32400869</v>
      </c>
      <c r="J48" s="452">
        <f t="shared" si="8"/>
        <v>4832108</v>
      </c>
    </row>
    <row r="49" spans="2:10">
      <c r="B49" s="252"/>
      <c r="C49" s="584" t="s">
        <v>141</v>
      </c>
      <c r="D49" s="585"/>
      <c r="E49" s="450"/>
      <c r="F49" s="450"/>
      <c r="G49" s="451">
        <f>E49+F49</f>
        <v>0</v>
      </c>
      <c r="H49" s="450"/>
      <c r="I49" s="450"/>
      <c r="J49" s="451">
        <f>I49-E49</f>
        <v>0</v>
      </c>
    </row>
    <row r="50" spans="2:10">
      <c r="B50" s="255"/>
      <c r="C50" s="584" t="s">
        <v>219</v>
      </c>
      <c r="D50" s="585"/>
      <c r="E50" s="450">
        <v>1317648</v>
      </c>
      <c r="F50" s="450">
        <v>-52478</v>
      </c>
      <c r="G50" s="451">
        <f>E50+F50</f>
        <v>1265170</v>
      </c>
      <c r="H50" s="450">
        <v>1047200</v>
      </c>
      <c r="I50" s="450">
        <v>1047200</v>
      </c>
      <c r="J50" s="451">
        <f>I50-E50</f>
        <v>-270448</v>
      </c>
    </row>
    <row r="51" spans="2:10">
      <c r="B51" s="255"/>
      <c r="C51" s="584" t="s">
        <v>80</v>
      </c>
      <c r="D51" s="585"/>
      <c r="E51" s="450">
        <v>26251113</v>
      </c>
      <c r="F51" s="450">
        <v>5305031</v>
      </c>
      <c r="G51" s="451">
        <f>E51+F51</f>
        <v>31556144</v>
      </c>
      <c r="H51" s="450">
        <v>31556144</v>
      </c>
      <c r="I51" s="450">
        <v>31353669</v>
      </c>
      <c r="J51" s="451">
        <f>I51-E51</f>
        <v>5102556</v>
      </c>
    </row>
    <row r="52" spans="2:10">
      <c r="B52" s="258"/>
      <c r="C52" s="259"/>
      <c r="D52" s="260"/>
      <c r="E52" s="449"/>
      <c r="F52" s="449"/>
      <c r="G52" s="449"/>
      <c r="H52" s="449"/>
      <c r="I52" s="449"/>
      <c r="J52" s="449"/>
    </row>
    <row r="53" spans="2:10">
      <c r="B53" s="252" t="s">
        <v>227</v>
      </c>
      <c r="C53" s="261"/>
      <c r="D53" s="257"/>
      <c r="E53" s="449">
        <f t="shared" ref="E53:J53" si="9">E54</f>
        <v>0</v>
      </c>
      <c r="F53" s="449">
        <f t="shared" si="9"/>
        <v>0</v>
      </c>
      <c r="G53" s="449">
        <f t="shared" si="9"/>
        <v>0</v>
      </c>
      <c r="H53" s="449">
        <f t="shared" si="9"/>
        <v>0</v>
      </c>
      <c r="I53" s="449">
        <f t="shared" si="9"/>
        <v>0</v>
      </c>
      <c r="J53" s="449">
        <f t="shared" si="9"/>
        <v>0</v>
      </c>
    </row>
    <row r="54" spans="2:10">
      <c r="B54" s="255"/>
      <c r="C54" s="584" t="s">
        <v>220</v>
      </c>
      <c r="D54" s="585"/>
      <c r="E54" s="450"/>
      <c r="F54" s="450"/>
      <c r="G54" s="451">
        <f>E54+F54</f>
        <v>0</v>
      </c>
      <c r="H54" s="450"/>
      <c r="I54" s="450"/>
      <c r="J54" s="451">
        <f>I54-E54</f>
        <v>0</v>
      </c>
    </row>
    <row r="55" spans="2:10">
      <c r="B55" s="262"/>
      <c r="C55" s="263"/>
      <c r="D55" s="264"/>
      <c r="E55" s="453"/>
      <c r="F55" s="453"/>
      <c r="G55" s="453"/>
      <c r="H55" s="453"/>
      <c r="I55" s="453"/>
      <c r="J55" s="453"/>
    </row>
    <row r="56" spans="2:10">
      <c r="B56" s="265"/>
      <c r="C56" s="266"/>
      <c r="D56" s="267" t="s">
        <v>221</v>
      </c>
      <c r="E56" s="454">
        <f t="shared" ref="E56:J56" si="10">E35+E48+E53</f>
        <v>27688761</v>
      </c>
      <c r="F56" s="454">
        <f t="shared" si="10"/>
        <v>5334942</v>
      </c>
      <c r="G56" s="454">
        <f t="shared" si="10"/>
        <v>33023703</v>
      </c>
      <c r="H56" s="454">
        <f t="shared" si="10"/>
        <v>32805733</v>
      </c>
      <c r="I56" s="454">
        <f t="shared" si="10"/>
        <v>32603258</v>
      </c>
      <c r="J56" s="586">
        <f t="shared" si="10"/>
        <v>4914497</v>
      </c>
    </row>
    <row r="57" spans="2:10">
      <c r="B57" s="268"/>
      <c r="C57" s="268"/>
      <c r="D57" s="268"/>
      <c r="E57" s="455"/>
      <c r="F57" s="455"/>
      <c r="G57" s="455"/>
      <c r="H57" s="588" t="s">
        <v>228</v>
      </c>
      <c r="I57" s="589"/>
      <c r="J57" s="587"/>
    </row>
    <row r="58" spans="2:10">
      <c r="B58" s="583"/>
      <c r="C58" s="583"/>
      <c r="D58" s="583"/>
      <c r="E58" s="583"/>
      <c r="F58" s="583"/>
      <c r="G58" s="583"/>
      <c r="H58" s="583"/>
      <c r="I58" s="583"/>
      <c r="J58" s="583"/>
    </row>
    <row r="59" spans="2:10">
      <c r="B59" s="269" t="s">
        <v>229</v>
      </c>
      <c r="C59" s="269"/>
      <c r="D59" s="234"/>
      <c r="E59" s="234"/>
      <c r="F59" s="234"/>
      <c r="G59" s="234"/>
      <c r="H59" s="234"/>
      <c r="I59" s="234"/>
      <c r="J59" s="234"/>
    </row>
    <row r="60" spans="2:10">
      <c r="B60" s="234"/>
      <c r="C60" s="234"/>
      <c r="D60" s="234"/>
      <c r="E60" s="234"/>
      <c r="F60" s="234"/>
      <c r="G60" s="234"/>
      <c r="H60" s="234"/>
      <c r="I60" s="234"/>
      <c r="J60" s="234"/>
    </row>
    <row r="62" spans="2:10" hidden="1"/>
    <row r="63" spans="2:10" hidden="1"/>
    <row r="64" spans="2:10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mergeCells count="40">
    <mergeCell ref="B3:J3"/>
    <mergeCell ref="B4:J4"/>
    <mergeCell ref="B5:J5"/>
    <mergeCell ref="B6:J6"/>
    <mergeCell ref="B8:D10"/>
    <mergeCell ref="E8:I8"/>
    <mergeCell ref="J8:J9"/>
    <mergeCell ref="B23:D23"/>
    <mergeCell ref="B12:D12"/>
    <mergeCell ref="B13:D13"/>
    <mergeCell ref="B14:D14"/>
    <mergeCell ref="B15:D15"/>
    <mergeCell ref="B16:D16"/>
    <mergeCell ref="C17:D17"/>
    <mergeCell ref="C18:D18"/>
    <mergeCell ref="B19:D19"/>
    <mergeCell ref="C20:D20"/>
    <mergeCell ref="C21:D21"/>
    <mergeCell ref="B22:D22"/>
    <mergeCell ref="C45:D45"/>
    <mergeCell ref="B24:D24"/>
    <mergeCell ref="B25:D25"/>
    <mergeCell ref="J27:J28"/>
    <mergeCell ref="H28:I28"/>
    <mergeCell ref="B31:D33"/>
    <mergeCell ref="E31:I31"/>
    <mergeCell ref="J31:J32"/>
    <mergeCell ref="C36:D36"/>
    <mergeCell ref="C37:D37"/>
    <mergeCell ref="C38:D38"/>
    <mergeCell ref="C39:D39"/>
    <mergeCell ref="C42:D42"/>
    <mergeCell ref="B58:J58"/>
    <mergeCell ref="C46:D46"/>
    <mergeCell ref="C49:D49"/>
    <mergeCell ref="C50:D50"/>
    <mergeCell ref="C51:D51"/>
    <mergeCell ref="C54:D54"/>
    <mergeCell ref="J56:J57"/>
    <mergeCell ref="H57:I57"/>
  </mergeCells>
  <pageMargins left="0.70866141732283472" right="0.70866141732283472" top="0.74803149606299213" bottom="0.74803149606299213" header="0.31496062992125984" footer="0.31496062992125984"/>
  <pageSetup scale="57" orientation="landscape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B6:K65519"/>
  <sheetViews>
    <sheetView showGridLines="0" topLeftCell="A13" zoomScale="80" zoomScaleNormal="80" workbookViewId="0">
      <selection activeCell="D17" sqref="D17"/>
    </sheetView>
  </sheetViews>
  <sheetFormatPr baseColWidth="10" defaultRowHeight="15"/>
  <cols>
    <col min="1" max="1" width="2.7109375" customWidth="1"/>
    <col min="2" max="2" width="9.42578125" customWidth="1"/>
    <col min="3" max="3" width="36.5703125" customWidth="1"/>
    <col min="4" max="9" width="21" customWidth="1"/>
    <col min="10" max="10" width="2.7109375" customWidth="1"/>
    <col min="11" max="11" width="11.42578125" hidden="1" customWidth="1"/>
    <col min="12" max="255" width="0" hidden="1" customWidth="1"/>
    <col min="257" max="257" width="2.7109375" customWidth="1"/>
    <col min="258" max="258" width="9.42578125" customWidth="1"/>
    <col min="259" max="259" width="36.5703125" customWidth="1"/>
    <col min="260" max="265" width="21" customWidth="1"/>
    <col min="266" max="266" width="2.7109375" customWidth="1"/>
    <col min="267" max="511" width="0" hidden="1" customWidth="1"/>
    <col min="513" max="513" width="2.7109375" customWidth="1"/>
    <col min="514" max="514" width="9.42578125" customWidth="1"/>
    <col min="515" max="515" width="36.5703125" customWidth="1"/>
    <col min="516" max="521" width="21" customWidth="1"/>
    <col min="522" max="522" width="2.7109375" customWidth="1"/>
    <col min="523" max="767" width="0" hidden="1" customWidth="1"/>
    <col min="769" max="769" width="2.7109375" customWidth="1"/>
    <col min="770" max="770" width="9.42578125" customWidth="1"/>
    <col min="771" max="771" width="36.5703125" customWidth="1"/>
    <col min="772" max="777" width="21" customWidth="1"/>
    <col min="778" max="778" width="2.7109375" customWidth="1"/>
    <col min="779" max="1023" width="0" hidden="1" customWidth="1"/>
    <col min="1025" max="1025" width="2.7109375" customWidth="1"/>
    <col min="1026" max="1026" width="9.42578125" customWidth="1"/>
    <col min="1027" max="1027" width="36.5703125" customWidth="1"/>
    <col min="1028" max="1033" width="21" customWidth="1"/>
    <col min="1034" max="1034" width="2.7109375" customWidth="1"/>
    <col min="1035" max="1279" width="0" hidden="1" customWidth="1"/>
    <col min="1281" max="1281" width="2.7109375" customWidth="1"/>
    <col min="1282" max="1282" width="9.42578125" customWidth="1"/>
    <col min="1283" max="1283" width="36.5703125" customWidth="1"/>
    <col min="1284" max="1289" width="21" customWidth="1"/>
    <col min="1290" max="1290" width="2.7109375" customWidth="1"/>
    <col min="1291" max="1535" width="0" hidden="1" customWidth="1"/>
    <col min="1537" max="1537" width="2.7109375" customWidth="1"/>
    <col min="1538" max="1538" width="9.42578125" customWidth="1"/>
    <col min="1539" max="1539" width="36.5703125" customWidth="1"/>
    <col min="1540" max="1545" width="21" customWidth="1"/>
    <col min="1546" max="1546" width="2.7109375" customWidth="1"/>
    <col min="1547" max="1791" width="0" hidden="1" customWidth="1"/>
    <col min="1793" max="1793" width="2.7109375" customWidth="1"/>
    <col min="1794" max="1794" width="9.42578125" customWidth="1"/>
    <col min="1795" max="1795" width="36.5703125" customWidth="1"/>
    <col min="1796" max="1801" width="21" customWidth="1"/>
    <col min="1802" max="1802" width="2.7109375" customWidth="1"/>
    <col min="1803" max="2047" width="0" hidden="1" customWidth="1"/>
    <col min="2049" max="2049" width="2.7109375" customWidth="1"/>
    <col min="2050" max="2050" width="9.42578125" customWidth="1"/>
    <col min="2051" max="2051" width="36.5703125" customWidth="1"/>
    <col min="2052" max="2057" width="21" customWidth="1"/>
    <col min="2058" max="2058" width="2.7109375" customWidth="1"/>
    <col min="2059" max="2303" width="0" hidden="1" customWidth="1"/>
    <col min="2305" max="2305" width="2.7109375" customWidth="1"/>
    <col min="2306" max="2306" width="9.42578125" customWidth="1"/>
    <col min="2307" max="2307" width="36.5703125" customWidth="1"/>
    <col min="2308" max="2313" width="21" customWidth="1"/>
    <col min="2314" max="2314" width="2.7109375" customWidth="1"/>
    <col min="2315" max="2559" width="0" hidden="1" customWidth="1"/>
    <col min="2561" max="2561" width="2.7109375" customWidth="1"/>
    <col min="2562" max="2562" width="9.42578125" customWidth="1"/>
    <col min="2563" max="2563" width="36.5703125" customWidth="1"/>
    <col min="2564" max="2569" width="21" customWidth="1"/>
    <col min="2570" max="2570" width="2.7109375" customWidth="1"/>
    <col min="2571" max="2815" width="0" hidden="1" customWidth="1"/>
    <col min="2817" max="2817" width="2.7109375" customWidth="1"/>
    <col min="2818" max="2818" width="9.42578125" customWidth="1"/>
    <col min="2819" max="2819" width="36.5703125" customWidth="1"/>
    <col min="2820" max="2825" width="21" customWidth="1"/>
    <col min="2826" max="2826" width="2.7109375" customWidth="1"/>
    <col min="2827" max="3071" width="0" hidden="1" customWidth="1"/>
    <col min="3073" max="3073" width="2.7109375" customWidth="1"/>
    <col min="3074" max="3074" width="9.42578125" customWidth="1"/>
    <col min="3075" max="3075" width="36.5703125" customWidth="1"/>
    <col min="3076" max="3081" width="21" customWidth="1"/>
    <col min="3082" max="3082" width="2.7109375" customWidth="1"/>
    <col min="3083" max="3327" width="0" hidden="1" customWidth="1"/>
    <col min="3329" max="3329" width="2.7109375" customWidth="1"/>
    <col min="3330" max="3330" width="9.42578125" customWidth="1"/>
    <col min="3331" max="3331" width="36.5703125" customWidth="1"/>
    <col min="3332" max="3337" width="21" customWidth="1"/>
    <col min="3338" max="3338" width="2.7109375" customWidth="1"/>
    <col min="3339" max="3583" width="0" hidden="1" customWidth="1"/>
    <col min="3585" max="3585" width="2.7109375" customWidth="1"/>
    <col min="3586" max="3586" width="9.42578125" customWidth="1"/>
    <col min="3587" max="3587" width="36.5703125" customWidth="1"/>
    <col min="3588" max="3593" width="21" customWidth="1"/>
    <col min="3594" max="3594" width="2.7109375" customWidth="1"/>
    <col min="3595" max="3839" width="0" hidden="1" customWidth="1"/>
    <col min="3841" max="3841" width="2.7109375" customWidth="1"/>
    <col min="3842" max="3842" width="9.42578125" customWidth="1"/>
    <col min="3843" max="3843" width="36.5703125" customWidth="1"/>
    <col min="3844" max="3849" width="21" customWidth="1"/>
    <col min="3850" max="3850" width="2.7109375" customWidth="1"/>
    <col min="3851" max="4095" width="0" hidden="1" customWidth="1"/>
    <col min="4097" max="4097" width="2.7109375" customWidth="1"/>
    <col min="4098" max="4098" width="9.42578125" customWidth="1"/>
    <col min="4099" max="4099" width="36.5703125" customWidth="1"/>
    <col min="4100" max="4105" width="21" customWidth="1"/>
    <col min="4106" max="4106" width="2.7109375" customWidth="1"/>
    <col min="4107" max="4351" width="0" hidden="1" customWidth="1"/>
    <col min="4353" max="4353" width="2.7109375" customWidth="1"/>
    <col min="4354" max="4354" width="9.42578125" customWidth="1"/>
    <col min="4355" max="4355" width="36.5703125" customWidth="1"/>
    <col min="4356" max="4361" width="21" customWidth="1"/>
    <col min="4362" max="4362" width="2.7109375" customWidth="1"/>
    <col min="4363" max="4607" width="0" hidden="1" customWidth="1"/>
    <col min="4609" max="4609" width="2.7109375" customWidth="1"/>
    <col min="4610" max="4610" width="9.42578125" customWidth="1"/>
    <col min="4611" max="4611" width="36.5703125" customWidth="1"/>
    <col min="4612" max="4617" width="21" customWidth="1"/>
    <col min="4618" max="4618" width="2.7109375" customWidth="1"/>
    <col min="4619" max="4863" width="0" hidden="1" customWidth="1"/>
    <col min="4865" max="4865" width="2.7109375" customWidth="1"/>
    <col min="4866" max="4866" width="9.42578125" customWidth="1"/>
    <col min="4867" max="4867" width="36.5703125" customWidth="1"/>
    <col min="4868" max="4873" width="21" customWidth="1"/>
    <col min="4874" max="4874" width="2.7109375" customWidth="1"/>
    <col min="4875" max="5119" width="0" hidden="1" customWidth="1"/>
    <col min="5121" max="5121" width="2.7109375" customWidth="1"/>
    <col min="5122" max="5122" width="9.42578125" customWidth="1"/>
    <col min="5123" max="5123" width="36.5703125" customWidth="1"/>
    <col min="5124" max="5129" width="21" customWidth="1"/>
    <col min="5130" max="5130" width="2.7109375" customWidth="1"/>
    <col min="5131" max="5375" width="0" hidden="1" customWidth="1"/>
    <col min="5377" max="5377" width="2.7109375" customWidth="1"/>
    <col min="5378" max="5378" width="9.42578125" customWidth="1"/>
    <col min="5379" max="5379" width="36.5703125" customWidth="1"/>
    <col min="5380" max="5385" width="21" customWidth="1"/>
    <col min="5386" max="5386" width="2.7109375" customWidth="1"/>
    <col min="5387" max="5631" width="0" hidden="1" customWidth="1"/>
    <col min="5633" max="5633" width="2.7109375" customWidth="1"/>
    <col min="5634" max="5634" width="9.42578125" customWidth="1"/>
    <col min="5635" max="5635" width="36.5703125" customWidth="1"/>
    <col min="5636" max="5641" width="21" customWidth="1"/>
    <col min="5642" max="5642" width="2.7109375" customWidth="1"/>
    <col min="5643" max="5887" width="0" hidden="1" customWidth="1"/>
    <col min="5889" max="5889" width="2.7109375" customWidth="1"/>
    <col min="5890" max="5890" width="9.42578125" customWidth="1"/>
    <col min="5891" max="5891" width="36.5703125" customWidth="1"/>
    <col min="5892" max="5897" width="21" customWidth="1"/>
    <col min="5898" max="5898" width="2.7109375" customWidth="1"/>
    <col min="5899" max="6143" width="0" hidden="1" customWidth="1"/>
    <col min="6145" max="6145" width="2.7109375" customWidth="1"/>
    <col min="6146" max="6146" width="9.42578125" customWidth="1"/>
    <col min="6147" max="6147" width="36.5703125" customWidth="1"/>
    <col min="6148" max="6153" width="21" customWidth="1"/>
    <col min="6154" max="6154" width="2.7109375" customWidth="1"/>
    <col min="6155" max="6399" width="0" hidden="1" customWidth="1"/>
    <col min="6401" max="6401" width="2.7109375" customWidth="1"/>
    <col min="6402" max="6402" width="9.42578125" customWidth="1"/>
    <col min="6403" max="6403" width="36.5703125" customWidth="1"/>
    <col min="6404" max="6409" width="21" customWidth="1"/>
    <col min="6410" max="6410" width="2.7109375" customWidth="1"/>
    <col min="6411" max="6655" width="0" hidden="1" customWidth="1"/>
    <col min="6657" max="6657" width="2.7109375" customWidth="1"/>
    <col min="6658" max="6658" width="9.42578125" customWidth="1"/>
    <col min="6659" max="6659" width="36.5703125" customWidth="1"/>
    <col min="6660" max="6665" width="21" customWidth="1"/>
    <col min="6666" max="6666" width="2.7109375" customWidth="1"/>
    <col min="6667" max="6911" width="0" hidden="1" customWidth="1"/>
    <col min="6913" max="6913" width="2.7109375" customWidth="1"/>
    <col min="6914" max="6914" width="9.42578125" customWidth="1"/>
    <col min="6915" max="6915" width="36.5703125" customWidth="1"/>
    <col min="6916" max="6921" width="21" customWidth="1"/>
    <col min="6922" max="6922" width="2.7109375" customWidth="1"/>
    <col min="6923" max="7167" width="0" hidden="1" customWidth="1"/>
    <col min="7169" max="7169" width="2.7109375" customWidth="1"/>
    <col min="7170" max="7170" width="9.42578125" customWidth="1"/>
    <col min="7171" max="7171" width="36.5703125" customWidth="1"/>
    <col min="7172" max="7177" width="21" customWidth="1"/>
    <col min="7178" max="7178" width="2.7109375" customWidth="1"/>
    <col min="7179" max="7423" width="0" hidden="1" customWidth="1"/>
    <col min="7425" max="7425" width="2.7109375" customWidth="1"/>
    <col min="7426" max="7426" width="9.42578125" customWidth="1"/>
    <col min="7427" max="7427" width="36.5703125" customWidth="1"/>
    <col min="7428" max="7433" width="21" customWidth="1"/>
    <col min="7434" max="7434" width="2.7109375" customWidth="1"/>
    <col min="7435" max="7679" width="0" hidden="1" customWidth="1"/>
    <col min="7681" max="7681" width="2.7109375" customWidth="1"/>
    <col min="7682" max="7682" width="9.42578125" customWidth="1"/>
    <col min="7683" max="7683" width="36.5703125" customWidth="1"/>
    <col min="7684" max="7689" width="21" customWidth="1"/>
    <col min="7690" max="7690" width="2.7109375" customWidth="1"/>
    <col min="7691" max="7935" width="0" hidden="1" customWidth="1"/>
    <col min="7937" max="7937" width="2.7109375" customWidth="1"/>
    <col min="7938" max="7938" width="9.42578125" customWidth="1"/>
    <col min="7939" max="7939" width="36.5703125" customWidth="1"/>
    <col min="7940" max="7945" width="21" customWidth="1"/>
    <col min="7946" max="7946" width="2.7109375" customWidth="1"/>
    <col min="7947" max="8191" width="0" hidden="1" customWidth="1"/>
    <col min="8193" max="8193" width="2.7109375" customWidth="1"/>
    <col min="8194" max="8194" width="9.42578125" customWidth="1"/>
    <col min="8195" max="8195" width="36.5703125" customWidth="1"/>
    <col min="8196" max="8201" width="21" customWidth="1"/>
    <col min="8202" max="8202" width="2.7109375" customWidth="1"/>
    <col min="8203" max="8447" width="0" hidden="1" customWidth="1"/>
    <col min="8449" max="8449" width="2.7109375" customWidth="1"/>
    <col min="8450" max="8450" width="9.42578125" customWidth="1"/>
    <col min="8451" max="8451" width="36.5703125" customWidth="1"/>
    <col min="8452" max="8457" width="21" customWidth="1"/>
    <col min="8458" max="8458" width="2.7109375" customWidth="1"/>
    <col min="8459" max="8703" width="0" hidden="1" customWidth="1"/>
    <col min="8705" max="8705" width="2.7109375" customWidth="1"/>
    <col min="8706" max="8706" width="9.42578125" customWidth="1"/>
    <col min="8707" max="8707" width="36.5703125" customWidth="1"/>
    <col min="8708" max="8713" width="21" customWidth="1"/>
    <col min="8714" max="8714" width="2.7109375" customWidth="1"/>
    <col min="8715" max="8959" width="0" hidden="1" customWidth="1"/>
    <col min="8961" max="8961" width="2.7109375" customWidth="1"/>
    <col min="8962" max="8962" width="9.42578125" customWidth="1"/>
    <col min="8963" max="8963" width="36.5703125" customWidth="1"/>
    <col min="8964" max="8969" width="21" customWidth="1"/>
    <col min="8970" max="8970" width="2.7109375" customWidth="1"/>
    <col min="8971" max="9215" width="0" hidden="1" customWidth="1"/>
    <col min="9217" max="9217" width="2.7109375" customWidth="1"/>
    <col min="9218" max="9218" width="9.42578125" customWidth="1"/>
    <col min="9219" max="9219" width="36.5703125" customWidth="1"/>
    <col min="9220" max="9225" width="21" customWidth="1"/>
    <col min="9226" max="9226" width="2.7109375" customWidth="1"/>
    <col min="9227" max="9471" width="0" hidden="1" customWidth="1"/>
    <col min="9473" max="9473" width="2.7109375" customWidth="1"/>
    <col min="9474" max="9474" width="9.42578125" customWidth="1"/>
    <col min="9475" max="9475" width="36.5703125" customWidth="1"/>
    <col min="9476" max="9481" width="21" customWidth="1"/>
    <col min="9482" max="9482" width="2.7109375" customWidth="1"/>
    <col min="9483" max="9727" width="0" hidden="1" customWidth="1"/>
    <col min="9729" max="9729" width="2.7109375" customWidth="1"/>
    <col min="9730" max="9730" width="9.42578125" customWidth="1"/>
    <col min="9731" max="9731" width="36.5703125" customWidth="1"/>
    <col min="9732" max="9737" width="21" customWidth="1"/>
    <col min="9738" max="9738" width="2.7109375" customWidth="1"/>
    <col min="9739" max="9983" width="0" hidden="1" customWidth="1"/>
    <col min="9985" max="9985" width="2.7109375" customWidth="1"/>
    <col min="9986" max="9986" width="9.42578125" customWidth="1"/>
    <col min="9987" max="9987" width="36.5703125" customWidth="1"/>
    <col min="9988" max="9993" width="21" customWidth="1"/>
    <col min="9994" max="9994" width="2.7109375" customWidth="1"/>
    <col min="9995" max="10239" width="0" hidden="1" customWidth="1"/>
    <col min="10241" max="10241" width="2.7109375" customWidth="1"/>
    <col min="10242" max="10242" width="9.42578125" customWidth="1"/>
    <col min="10243" max="10243" width="36.5703125" customWidth="1"/>
    <col min="10244" max="10249" width="21" customWidth="1"/>
    <col min="10250" max="10250" width="2.7109375" customWidth="1"/>
    <col min="10251" max="10495" width="0" hidden="1" customWidth="1"/>
    <col min="10497" max="10497" width="2.7109375" customWidth="1"/>
    <col min="10498" max="10498" width="9.42578125" customWidth="1"/>
    <col min="10499" max="10499" width="36.5703125" customWidth="1"/>
    <col min="10500" max="10505" width="21" customWidth="1"/>
    <col min="10506" max="10506" width="2.7109375" customWidth="1"/>
    <col min="10507" max="10751" width="0" hidden="1" customWidth="1"/>
    <col min="10753" max="10753" width="2.7109375" customWidth="1"/>
    <col min="10754" max="10754" width="9.42578125" customWidth="1"/>
    <col min="10755" max="10755" width="36.5703125" customWidth="1"/>
    <col min="10756" max="10761" width="21" customWidth="1"/>
    <col min="10762" max="10762" width="2.7109375" customWidth="1"/>
    <col min="10763" max="11007" width="0" hidden="1" customWidth="1"/>
    <col min="11009" max="11009" width="2.7109375" customWidth="1"/>
    <col min="11010" max="11010" width="9.42578125" customWidth="1"/>
    <col min="11011" max="11011" width="36.5703125" customWidth="1"/>
    <col min="11012" max="11017" width="21" customWidth="1"/>
    <col min="11018" max="11018" width="2.7109375" customWidth="1"/>
    <col min="11019" max="11263" width="0" hidden="1" customWidth="1"/>
    <col min="11265" max="11265" width="2.7109375" customWidth="1"/>
    <col min="11266" max="11266" width="9.42578125" customWidth="1"/>
    <col min="11267" max="11267" width="36.5703125" customWidth="1"/>
    <col min="11268" max="11273" width="21" customWidth="1"/>
    <col min="11274" max="11274" width="2.7109375" customWidth="1"/>
    <col min="11275" max="11519" width="0" hidden="1" customWidth="1"/>
    <col min="11521" max="11521" width="2.7109375" customWidth="1"/>
    <col min="11522" max="11522" width="9.42578125" customWidth="1"/>
    <col min="11523" max="11523" width="36.5703125" customWidth="1"/>
    <col min="11524" max="11529" width="21" customWidth="1"/>
    <col min="11530" max="11530" width="2.7109375" customWidth="1"/>
    <col min="11531" max="11775" width="0" hidden="1" customWidth="1"/>
    <col min="11777" max="11777" width="2.7109375" customWidth="1"/>
    <col min="11778" max="11778" width="9.42578125" customWidth="1"/>
    <col min="11779" max="11779" width="36.5703125" customWidth="1"/>
    <col min="11780" max="11785" width="21" customWidth="1"/>
    <col min="11786" max="11786" width="2.7109375" customWidth="1"/>
    <col min="11787" max="12031" width="0" hidden="1" customWidth="1"/>
    <col min="12033" max="12033" width="2.7109375" customWidth="1"/>
    <col min="12034" max="12034" width="9.42578125" customWidth="1"/>
    <col min="12035" max="12035" width="36.5703125" customWidth="1"/>
    <col min="12036" max="12041" width="21" customWidth="1"/>
    <col min="12042" max="12042" width="2.7109375" customWidth="1"/>
    <col min="12043" max="12287" width="0" hidden="1" customWidth="1"/>
    <col min="12289" max="12289" width="2.7109375" customWidth="1"/>
    <col min="12290" max="12290" width="9.42578125" customWidth="1"/>
    <col min="12291" max="12291" width="36.5703125" customWidth="1"/>
    <col min="12292" max="12297" width="21" customWidth="1"/>
    <col min="12298" max="12298" width="2.7109375" customWidth="1"/>
    <col min="12299" max="12543" width="0" hidden="1" customWidth="1"/>
    <col min="12545" max="12545" width="2.7109375" customWidth="1"/>
    <col min="12546" max="12546" width="9.42578125" customWidth="1"/>
    <col min="12547" max="12547" width="36.5703125" customWidth="1"/>
    <col min="12548" max="12553" width="21" customWidth="1"/>
    <col min="12554" max="12554" width="2.7109375" customWidth="1"/>
    <col min="12555" max="12799" width="0" hidden="1" customWidth="1"/>
    <col min="12801" max="12801" width="2.7109375" customWidth="1"/>
    <col min="12802" max="12802" width="9.42578125" customWidth="1"/>
    <col min="12803" max="12803" width="36.5703125" customWidth="1"/>
    <col min="12804" max="12809" width="21" customWidth="1"/>
    <col min="12810" max="12810" width="2.7109375" customWidth="1"/>
    <col min="12811" max="13055" width="0" hidden="1" customWidth="1"/>
    <col min="13057" max="13057" width="2.7109375" customWidth="1"/>
    <col min="13058" max="13058" width="9.42578125" customWidth="1"/>
    <col min="13059" max="13059" width="36.5703125" customWidth="1"/>
    <col min="13060" max="13065" width="21" customWidth="1"/>
    <col min="13066" max="13066" width="2.7109375" customWidth="1"/>
    <col min="13067" max="13311" width="0" hidden="1" customWidth="1"/>
    <col min="13313" max="13313" width="2.7109375" customWidth="1"/>
    <col min="13314" max="13314" width="9.42578125" customWidth="1"/>
    <col min="13315" max="13315" width="36.5703125" customWidth="1"/>
    <col min="13316" max="13321" width="21" customWidth="1"/>
    <col min="13322" max="13322" width="2.7109375" customWidth="1"/>
    <col min="13323" max="13567" width="0" hidden="1" customWidth="1"/>
    <col min="13569" max="13569" width="2.7109375" customWidth="1"/>
    <col min="13570" max="13570" width="9.42578125" customWidth="1"/>
    <col min="13571" max="13571" width="36.5703125" customWidth="1"/>
    <col min="13572" max="13577" width="21" customWidth="1"/>
    <col min="13578" max="13578" width="2.7109375" customWidth="1"/>
    <col min="13579" max="13823" width="0" hidden="1" customWidth="1"/>
    <col min="13825" max="13825" width="2.7109375" customWidth="1"/>
    <col min="13826" max="13826" width="9.42578125" customWidth="1"/>
    <col min="13827" max="13827" width="36.5703125" customWidth="1"/>
    <col min="13828" max="13833" width="21" customWidth="1"/>
    <col min="13834" max="13834" width="2.7109375" customWidth="1"/>
    <col min="13835" max="14079" width="0" hidden="1" customWidth="1"/>
    <col min="14081" max="14081" width="2.7109375" customWidth="1"/>
    <col min="14082" max="14082" width="9.42578125" customWidth="1"/>
    <col min="14083" max="14083" width="36.5703125" customWidth="1"/>
    <col min="14084" max="14089" width="21" customWidth="1"/>
    <col min="14090" max="14090" width="2.7109375" customWidth="1"/>
    <col min="14091" max="14335" width="0" hidden="1" customWidth="1"/>
    <col min="14337" max="14337" width="2.7109375" customWidth="1"/>
    <col min="14338" max="14338" width="9.42578125" customWidth="1"/>
    <col min="14339" max="14339" width="36.5703125" customWidth="1"/>
    <col min="14340" max="14345" width="21" customWidth="1"/>
    <col min="14346" max="14346" width="2.7109375" customWidth="1"/>
    <col min="14347" max="14591" width="0" hidden="1" customWidth="1"/>
    <col min="14593" max="14593" width="2.7109375" customWidth="1"/>
    <col min="14594" max="14594" width="9.42578125" customWidth="1"/>
    <col min="14595" max="14595" width="36.5703125" customWidth="1"/>
    <col min="14596" max="14601" width="21" customWidth="1"/>
    <col min="14602" max="14602" width="2.7109375" customWidth="1"/>
    <col min="14603" max="14847" width="0" hidden="1" customWidth="1"/>
    <col min="14849" max="14849" width="2.7109375" customWidth="1"/>
    <col min="14850" max="14850" width="9.42578125" customWidth="1"/>
    <col min="14851" max="14851" width="36.5703125" customWidth="1"/>
    <col min="14852" max="14857" width="21" customWidth="1"/>
    <col min="14858" max="14858" width="2.7109375" customWidth="1"/>
    <col min="14859" max="15103" width="0" hidden="1" customWidth="1"/>
    <col min="15105" max="15105" width="2.7109375" customWidth="1"/>
    <col min="15106" max="15106" width="9.42578125" customWidth="1"/>
    <col min="15107" max="15107" width="36.5703125" customWidth="1"/>
    <col min="15108" max="15113" width="21" customWidth="1"/>
    <col min="15114" max="15114" width="2.7109375" customWidth="1"/>
    <col min="15115" max="15359" width="0" hidden="1" customWidth="1"/>
    <col min="15361" max="15361" width="2.7109375" customWidth="1"/>
    <col min="15362" max="15362" width="9.42578125" customWidth="1"/>
    <col min="15363" max="15363" width="36.5703125" customWidth="1"/>
    <col min="15364" max="15369" width="21" customWidth="1"/>
    <col min="15370" max="15370" width="2.7109375" customWidth="1"/>
    <col min="15371" max="15615" width="0" hidden="1" customWidth="1"/>
    <col min="15617" max="15617" width="2.7109375" customWidth="1"/>
    <col min="15618" max="15618" width="9.42578125" customWidth="1"/>
    <col min="15619" max="15619" width="36.5703125" customWidth="1"/>
    <col min="15620" max="15625" width="21" customWidth="1"/>
    <col min="15626" max="15626" width="2.7109375" customWidth="1"/>
    <col min="15627" max="15871" width="0" hidden="1" customWidth="1"/>
    <col min="15873" max="15873" width="2.7109375" customWidth="1"/>
    <col min="15874" max="15874" width="9.42578125" customWidth="1"/>
    <col min="15875" max="15875" width="36.5703125" customWidth="1"/>
    <col min="15876" max="15881" width="21" customWidth="1"/>
    <col min="15882" max="15882" width="2.7109375" customWidth="1"/>
    <col min="15883" max="16127" width="0" hidden="1" customWidth="1"/>
    <col min="16129" max="16129" width="2.7109375" customWidth="1"/>
    <col min="16130" max="16130" width="9.42578125" customWidth="1"/>
    <col min="16131" max="16131" width="36.5703125" customWidth="1"/>
    <col min="16132" max="16137" width="21" customWidth="1"/>
    <col min="16138" max="16138" width="2.7109375" customWidth="1"/>
    <col min="16139" max="16383" width="0" hidden="1" customWidth="1"/>
  </cols>
  <sheetData>
    <row r="6" spans="2:9">
      <c r="B6" s="604" t="s">
        <v>412</v>
      </c>
      <c r="C6" s="605"/>
      <c r="D6" s="605"/>
      <c r="E6" s="605"/>
      <c r="F6" s="605"/>
      <c r="G6" s="605"/>
      <c r="H6" s="605"/>
      <c r="I6" s="606"/>
    </row>
    <row r="7" spans="2:9">
      <c r="B7" s="607" t="s">
        <v>4</v>
      </c>
      <c r="C7" s="608"/>
      <c r="D7" s="608"/>
      <c r="E7" s="608"/>
      <c r="F7" s="608"/>
      <c r="G7" s="608"/>
      <c r="H7" s="608"/>
      <c r="I7" s="609"/>
    </row>
    <row r="8" spans="2:9">
      <c r="B8" s="610" t="s">
        <v>230</v>
      </c>
      <c r="C8" s="611"/>
      <c r="D8" s="611"/>
      <c r="E8" s="611"/>
      <c r="F8" s="611"/>
      <c r="G8" s="611"/>
      <c r="H8" s="611"/>
      <c r="I8" s="612"/>
    </row>
    <row r="9" spans="2:9">
      <c r="B9" s="610" t="s">
        <v>231</v>
      </c>
      <c r="C9" s="611"/>
      <c r="D9" s="611"/>
      <c r="E9" s="611"/>
      <c r="F9" s="611"/>
      <c r="G9" s="611"/>
      <c r="H9" s="611"/>
      <c r="I9" s="612"/>
    </row>
    <row r="10" spans="2:9">
      <c r="B10" s="613" t="s">
        <v>416</v>
      </c>
      <c r="C10" s="614"/>
      <c r="D10" s="614"/>
      <c r="E10" s="614"/>
      <c r="F10" s="614"/>
      <c r="G10" s="614"/>
      <c r="H10" s="614"/>
      <c r="I10" s="615"/>
    </row>
    <row r="11" spans="2:9">
      <c r="B11" s="234"/>
      <c r="C11" s="234"/>
      <c r="D11" s="234"/>
      <c r="E11" s="234"/>
      <c r="F11" s="234"/>
      <c r="G11" s="234"/>
      <c r="H11" s="234"/>
      <c r="I11" s="234"/>
    </row>
    <row r="12" spans="2:9">
      <c r="B12" s="620" t="s">
        <v>67</v>
      </c>
      <c r="C12" s="621"/>
      <c r="D12" s="616" t="s">
        <v>232</v>
      </c>
      <c r="E12" s="617"/>
      <c r="F12" s="617"/>
      <c r="G12" s="617"/>
      <c r="H12" s="618"/>
      <c r="I12" s="619" t="s">
        <v>233</v>
      </c>
    </row>
    <row r="13" spans="2:9" ht="24.75">
      <c r="B13" s="622"/>
      <c r="C13" s="623"/>
      <c r="D13" s="236" t="s">
        <v>234</v>
      </c>
      <c r="E13" s="237" t="s">
        <v>235</v>
      </c>
      <c r="F13" s="236" t="s">
        <v>206</v>
      </c>
      <c r="G13" s="236" t="s">
        <v>207</v>
      </c>
      <c r="H13" s="236" t="s">
        <v>236</v>
      </c>
      <c r="I13" s="619"/>
    </row>
    <row r="14" spans="2:9">
      <c r="B14" s="624"/>
      <c r="C14" s="625"/>
      <c r="D14" s="238">
        <v>1</v>
      </c>
      <c r="E14" s="238">
        <v>2</v>
      </c>
      <c r="F14" s="238" t="s">
        <v>237</v>
      </c>
      <c r="G14" s="238">
        <v>4</v>
      </c>
      <c r="H14" s="238">
        <v>5</v>
      </c>
      <c r="I14" s="238" t="s">
        <v>238</v>
      </c>
    </row>
    <row r="15" spans="2:9">
      <c r="B15" s="270"/>
      <c r="C15" s="271"/>
      <c r="D15" s="272"/>
      <c r="E15" s="272"/>
      <c r="F15" s="272"/>
      <c r="G15" s="272"/>
      <c r="H15" s="272"/>
      <c r="I15" s="272"/>
    </row>
    <row r="16" spans="2:9">
      <c r="B16" s="273"/>
      <c r="C16" s="274" t="s">
        <v>239</v>
      </c>
      <c r="D16" s="275">
        <v>27688761</v>
      </c>
      <c r="E16" s="275">
        <v>20499142.739999998</v>
      </c>
      <c r="F16" s="276">
        <f>D16+E16</f>
        <v>48187903.739999995</v>
      </c>
      <c r="G16" s="275">
        <v>30563776.079999998</v>
      </c>
      <c r="H16" s="275">
        <v>29756491.460000001</v>
      </c>
      <c r="I16" s="276">
        <f>F16-G16</f>
        <v>17624127.659999996</v>
      </c>
    </row>
    <row r="17" spans="2:9">
      <c r="B17" s="273"/>
      <c r="C17" s="274" t="s">
        <v>240</v>
      </c>
      <c r="D17" s="275"/>
      <c r="E17" s="275"/>
      <c r="F17" s="276">
        <f t="shared" ref="F17:F24" si="0">D17+E17</f>
        <v>0</v>
      </c>
      <c r="G17" s="275"/>
      <c r="H17" s="275"/>
      <c r="I17" s="276">
        <f t="shared" ref="I17:I24" si="1">F17-G17</f>
        <v>0</v>
      </c>
    </row>
    <row r="18" spans="2:9">
      <c r="B18" s="273"/>
      <c r="C18" s="274" t="s">
        <v>241</v>
      </c>
      <c r="D18" s="275"/>
      <c r="E18" s="275"/>
      <c r="F18" s="276">
        <f t="shared" si="0"/>
        <v>0</v>
      </c>
      <c r="G18" s="275"/>
      <c r="H18" s="275"/>
      <c r="I18" s="276">
        <f t="shared" si="1"/>
        <v>0</v>
      </c>
    </row>
    <row r="19" spans="2:9">
      <c r="B19" s="273"/>
      <c r="C19" s="274" t="s">
        <v>242</v>
      </c>
      <c r="D19" s="275"/>
      <c r="E19" s="275"/>
      <c r="F19" s="276">
        <f t="shared" si="0"/>
        <v>0</v>
      </c>
      <c r="G19" s="275"/>
      <c r="H19" s="275"/>
      <c r="I19" s="276">
        <f t="shared" si="1"/>
        <v>0</v>
      </c>
    </row>
    <row r="20" spans="2:9">
      <c r="B20" s="273"/>
      <c r="C20" s="274" t="s">
        <v>243</v>
      </c>
      <c r="D20" s="275"/>
      <c r="E20" s="275"/>
      <c r="F20" s="276">
        <f t="shared" si="0"/>
        <v>0</v>
      </c>
      <c r="G20" s="275"/>
      <c r="H20" s="275"/>
      <c r="I20" s="276">
        <f t="shared" si="1"/>
        <v>0</v>
      </c>
    </row>
    <row r="21" spans="2:9">
      <c r="B21" s="273"/>
      <c r="C21" s="274" t="s">
        <v>244</v>
      </c>
      <c r="D21" s="275"/>
      <c r="E21" s="275"/>
      <c r="F21" s="276">
        <f t="shared" si="0"/>
        <v>0</v>
      </c>
      <c r="G21" s="275"/>
      <c r="H21" s="275"/>
      <c r="I21" s="276">
        <f t="shared" si="1"/>
        <v>0</v>
      </c>
    </row>
    <row r="22" spans="2:9">
      <c r="B22" s="273"/>
      <c r="C22" s="274" t="s">
        <v>245</v>
      </c>
      <c r="D22" s="275"/>
      <c r="E22" s="275"/>
      <c r="F22" s="276">
        <f t="shared" si="0"/>
        <v>0</v>
      </c>
      <c r="G22" s="275"/>
      <c r="H22" s="275"/>
      <c r="I22" s="276">
        <f t="shared" si="1"/>
        <v>0</v>
      </c>
    </row>
    <row r="23" spans="2:9">
      <c r="B23" s="273"/>
      <c r="C23" s="274" t="s">
        <v>246</v>
      </c>
      <c r="D23" s="275"/>
      <c r="E23" s="275"/>
      <c r="F23" s="276">
        <f t="shared" si="0"/>
        <v>0</v>
      </c>
      <c r="G23" s="275"/>
      <c r="H23" s="275"/>
      <c r="I23" s="276">
        <f t="shared" si="1"/>
        <v>0</v>
      </c>
    </row>
    <row r="24" spans="2:9">
      <c r="B24" s="273"/>
      <c r="C24" s="274" t="s">
        <v>247</v>
      </c>
      <c r="D24" s="275"/>
      <c r="E24" s="275"/>
      <c r="F24" s="276">
        <f t="shared" si="0"/>
        <v>0</v>
      </c>
      <c r="G24" s="275"/>
      <c r="H24" s="275"/>
      <c r="I24" s="276">
        <f t="shared" si="1"/>
        <v>0</v>
      </c>
    </row>
    <row r="25" spans="2:9">
      <c r="B25" s="277"/>
      <c r="C25" s="278"/>
      <c r="D25" s="279"/>
      <c r="E25" s="279"/>
      <c r="F25" s="280"/>
      <c r="G25" s="279"/>
      <c r="H25" s="279"/>
      <c r="I25" s="280"/>
    </row>
    <row r="26" spans="2:9">
      <c r="B26" s="281"/>
      <c r="C26" s="282" t="s">
        <v>248</v>
      </c>
      <c r="D26" s="283">
        <f t="shared" ref="D26:I26" si="2">SUM(D16:D24)</f>
        <v>27688761</v>
      </c>
      <c r="E26" s="283">
        <f t="shared" si="2"/>
        <v>20499142.739999998</v>
      </c>
      <c r="F26" s="283">
        <f t="shared" si="2"/>
        <v>48187903.739999995</v>
      </c>
      <c r="G26" s="283">
        <f t="shared" si="2"/>
        <v>30563776.079999998</v>
      </c>
      <c r="H26" s="283">
        <f t="shared" si="2"/>
        <v>29756491.460000001</v>
      </c>
      <c r="I26" s="283">
        <f t="shared" si="2"/>
        <v>17624127.659999996</v>
      </c>
    </row>
    <row r="31" spans="2:9" hidden="1"/>
    <row r="32" spans="2:9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</sheetData>
  <mergeCells count="8">
    <mergeCell ref="B12:C14"/>
    <mergeCell ref="D12:H12"/>
    <mergeCell ref="I12:I13"/>
    <mergeCell ref="B6:I6"/>
    <mergeCell ref="B7:I7"/>
    <mergeCell ref="B8:I8"/>
    <mergeCell ref="B9:I9"/>
    <mergeCell ref="B10:I10"/>
  </mergeCells>
  <pageMargins left="0.70866141732283472" right="0.70866141732283472" top="0.74803149606299213" bottom="0.74803149606299213" header="0.31496062992125984" footer="0.31496062992125984"/>
  <pageSetup scale="70" orientation="landscape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WVR27"/>
  <sheetViews>
    <sheetView showGridLines="0" topLeftCell="A4" workbookViewId="0">
      <selection activeCell="D12" sqref="D12"/>
    </sheetView>
  </sheetViews>
  <sheetFormatPr baseColWidth="10" defaultColWidth="0" defaultRowHeight="15" customHeight="1" zeroHeight="1"/>
  <cols>
    <col min="1" max="1" width="2.7109375" customWidth="1"/>
    <col min="2" max="2" width="8.85546875" customWidth="1"/>
    <col min="3" max="3" width="15.28515625" customWidth="1"/>
    <col min="4" max="9" width="21.140625" customWidth="1"/>
    <col min="10" max="10" width="2.7109375" customWidth="1"/>
    <col min="11" max="256" width="11.42578125" hidden="1"/>
    <col min="257" max="257" width="2.7109375" customWidth="1"/>
    <col min="258" max="258" width="8.85546875" customWidth="1"/>
    <col min="259" max="259" width="15.28515625" customWidth="1"/>
    <col min="260" max="265" width="21.140625" customWidth="1"/>
    <col min="266" max="266" width="2.7109375" customWidth="1"/>
    <col min="267" max="512" width="11.42578125" hidden="1"/>
    <col min="513" max="513" width="2.7109375" customWidth="1"/>
    <col min="514" max="514" width="8.85546875" customWidth="1"/>
    <col min="515" max="515" width="15.28515625" customWidth="1"/>
    <col min="516" max="521" width="21.140625" customWidth="1"/>
    <col min="522" max="522" width="2.7109375" customWidth="1"/>
    <col min="523" max="768" width="11.42578125" hidden="1"/>
    <col min="769" max="769" width="2.7109375" customWidth="1"/>
    <col min="770" max="770" width="8.85546875" customWidth="1"/>
    <col min="771" max="771" width="15.28515625" customWidth="1"/>
    <col min="772" max="777" width="21.140625" customWidth="1"/>
    <col min="778" max="778" width="2.7109375" customWidth="1"/>
    <col min="779" max="1024" width="11.42578125" hidden="1"/>
    <col min="1025" max="1025" width="2.7109375" customWidth="1"/>
    <col min="1026" max="1026" width="8.85546875" customWidth="1"/>
    <col min="1027" max="1027" width="15.28515625" customWidth="1"/>
    <col min="1028" max="1033" width="21.140625" customWidth="1"/>
    <col min="1034" max="1034" width="2.7109375" customWidth="1"/>
    <col min="1035" max="1280" width="11.42578125" hidden="1"/>
    <col min="1281" max="1281" width="2.7109375" customWidth="1"/>
    <col min="1282" max="1282" width="8.85546875" customWidth="1"/>
    <col min="1283" max="1283" width="15.28515625" customWidth="1"/>
    <col min="1284" max="1289" width="21.140625" customWidth="1"/>
    <col min="1290" max="1290" width="2.7109375" customWidth="1"/>
    <col min="1291" max="1536" width="11.42578125" hidden="1"/>
    <col min="1537" max="1537" width="2.7109375" customWidth="1"/>
    <col min="1538" max="1538" width="8.85546875" customWidth="1"/>
    <col min="1539" max="1539" width="15.28515625" customWidth="1"/>
    <col min="1540" max="1545" width="21.140625" customWidth="1"/>
    <col min="1546" max="1546" width="2.7109375" customWidth="1"/>
    <col min="1547" max="1792" width="11.42578125" hidden="1"/>
    <col min="1793" max="1793" width="2.7109375" customWidth="1"/>
    <col min="1794" max="1794" width="8.85546875" customWidth="1"/>
    <col min="1795" max="1795" width="15.28515625" customWidth="1"/>
    <col min="1796" max="1801" width="21.140625" customWidth="1"/>
    <col min="1802" max="1802" width="2.7109375" customWidth="1"/>
    <col min="1803" max="2048" width="11.42578125" hidden="1"/>
    <col min="2049" max="2049" width="2.7109375" customWidth="1"/>
    <col min="2050" max="2050" width="8.85546875" customWidth="1"/>
    <col min="2051" max="2051" width="15.28515625" customWidth="1"/>
    <col min="2052" max="2057" width="21.140625" customWidth="1"/>
    <col min="2058" max="2058" width="2.7109375" customWidth="1"/>
    <col min="2059" max="2304" width="11.42578125" hidden="1"/>
    <col min="2305" max="2305" width="2.7109375" customWidth="1"/>
    <col min="2306" max="2306" width="8.85546875" customWidth="1"/>
    <col min="2307" max="2307" width="15.28515625" customWidth="1"/>
    <col min="2308" max="2313" width="21.140625" customWidth="1"/>
    <col min="2314" max="2314" width="2.7109375" customWidth="1"/>
    <col min="2315" max="2560" width="11.42578125" hidden="1"/>
    <col min="2561" max="2561" width="2.7109375" customWidth="1"/>
    <col min="2562" max="2562" width="8.85546875" customWidth="1"/>
    <col min="2563" max="2563" width="15.28515625" customWidth="1"/>
    <col min="2564" max="2569" width="21.140625" customWidth="1"/>
    <col min="2570" max="2570" width="2.7109375" customWidth="1"/>
    <col min="2571" max="2816" width="11.42578125" hidden="1"/>
    <col min="2817" max="2817" width="2.7109375" customWidth="1"/>
    <col min="2818" max="2818" width="8.85546875" customWidth="1"/>
    <col min="2819" max="2819" width="15.28515625" customWidth="1"/>
    <col min="2820" max="2825" width="21.140625" customWidth="1"/>
    <col min="2826" max="2826" width="2.7109375" customWidth="1"/>
    <col min="2827" max="3072" width="11.42578125" hidden="1"/>
    <col min="3073" max="3073" width="2.7109375" customWidth="1"/>
    <col min="3074" max="3074" width="8.85546875" customWidth="1"/>
    <col min="3075" max="3075" width="15.28515625" customWidth="1"/>
    <col min="3076" max="3081" width="21.140625" customWidth="1"/>
    <col min="3082" max="3082" width="2.7109375" customWidth="1"/>
    <col min="3083" max="3328" width="11.42578125" hidden="1"/>
    <col min="3329" max="3329" width="2.7109375" customWidth="1"/>
    <col min="3330" max="3330" width="8.85546875" customWidth="1"/>
    <col min="3331" max="3331" width="15.28515625" customWidth="1"/>
    <col min="3332" max="3337" width="21.140625" customWidth="1"/>
    <col min="3338" max="3338" width="2.7109375" customWidth="1"/>
    <col min="3339" max="3584" width="11.42578125" hidden="1"/>
    <col min="3585" max="3585" width="2.7109375" customWidth="1"/>
    <col min="3586" max="3586" width="8.85546875" customWidth="1"/>
    <col min="3587" max="3587" width="15.28515625" customWidth="1"/>
    <col min="3588" max="3593" width="21.140625" customWidth="1"/>
    <col min="3594" max="3594" width="2.7109375" customWidth="1"/>
    <col min="3595" max="3840" width="11.42578125" hidden="1"/>
    <col min="3841" max="3841" width="2.7109375" customWidth="1"/>
    <col min="3842" max="3842" width="8.85546875" customWidth="1"/>
    <col min="3843" max="3843" width="15.28515625" customWidth="1"/>
    <col min="3844" max="3849" width="21.140625" customWidth="1"/>
    <col min="3850" max="3850" width="2.7109375" customWidth="1"/>
    <col min="3851" max="4096" width="11.42578125" hidden="1"/>
    <col min="4097" max="4097" width="2.7109375" customWidth="1"/>
    <col min="4098" max="4098" width="8.85546875" customWidth="1"/>
    <col min="4099" max="4099" width="15.28515625" customWidth="1"/>
    <col min="4100" max="4105" width="21.140625" customWidth="1"/>
    <col min="4106" max="4106" width="2.7109375" customWidth="1"/>
    <col min="4107" max="4352" width="11.42578125" hidden="1"/>
    <col min="4353" max="4353" width="2.7109375" customWidth="1"/>
    <col min="4354" max="4354" width="8.85546875" customWidth="1"/>
    <col min="4355" max="4355" width="15.28515625" customWidth="1"/>
    <col min="4356" max="4361" width="21.140625" customWidth="1"/>
    <col min="4362" max="4362" width="2.7109375" customWidth="1"/>
    <col min="4363" max="4608" width="11.42578125" hidden="1"/>
    <col min="4609" max="4609" width="2.7109375" customWidth="1"/>
    <col min="4610" max="4610" width="8.85546875" customWidth="1"/>
    <col min="4611" max="4611" width="15.28515625" customWidth="1"/>
    <col min="4612" max="4617" width="21.140625" customWidth="1"/>
    <col min="4618" max="4618" width="2.7109375" customWidth="1"/>
    <col min="4619" max="4864" width="11.42578125" hidden="1"/>
    <col min="4865" max="4865" width="2.7109375" customWidth="1"/>
    <col min="4866" max="4866" width="8.85546875" customWidth="1"/>
    <col min="4867" max="4867" width="15.28515625" customWidth="1"/>
    <col min="4868" max="4873" width="21.140625" customWidth="1"/>
    <col min="4874" max="4874" width="2.7109375" customWidth="1"/>
    <col min="4875" max="5120" width="11.42578125" hidden="1"/>
    <col min="5121" max="5121" width="2.7109375" customWidth="1"/>
    <col min="5122" max="5122" width="8.85546875" customWidth="1"/>
    <col min="5123" max="5123" width="15.28515625" customWidth="1"/>
    <col min="5124" max="5129" width="21.140625" customWidth="1"/>
    <col min="5130" max="5130" width="2.7109375" customWidth="1"/>
    <col min="5131" max="5376" width="11.42578125" hidden="1"/>
    <col min="5377" max="5377" width="2.7109375" customWidth="1"/>
    <col min="5378" max="5378" width="8.85546875" customWidth="1"/>
    <col min="5379" max="5379" width="15.28515625" customWidth="1"/>
    <col min="5380" max="5385" width="21.140625" customWidth="1"/>
    <col min="5386" max="5386" width="2.7109375" customWidth="1"/>
    <col min="5387" max="5632" width="11.42578125" hidden="1"/>
    <col min="5633" max="5633" width="2.7109375" customWidth="1"/>
    <col min="5634" max="5634" width="8.85546875" customWidth="1"/>
    <col min="5635" max="5635" width="15.28515625" customWidth="1"/>
    <col min="5636" max="5641" width="21.140625" customWidth="1"/>
    <col min="5642" max="5642" width="2.7109375" customWidth="1"/>
    <col min="5643" max="5888" width="11.42578125" hidden="1"/>
    <col min="5889" max="5889" width="2.7109375" customWidth="1"/>
    <col min="5890" max="5890" width="8.85546875" customWidth="1"/>
    <col min="5891" max="5891" width="15.28515625" customWidth="1"/>
    <col min="5892" max="5897" width="21.140625" customWidth="1"/>
    <col min="5898" max="5898" width="2.7109375" customWidth="1"/>
    <col min="5899" max="6144" width="11.42578125" hidden="1"/>
    <col min="6145" max="6145" width="2.7109375" customWidth="1"/>
    <col min="6146" max="6146" width="8.85546875" customWidth="1"/>
    <col min="6147" max="6147" width="15.28515625" customWidth="1"/>
    <col min="6148" max="6153" width="21.140625" customWidth="1"/>
    <col min="6154" max="6154" width="2.7109375" customWidth="1"/>
    <col min="6155" max="6400" width="11.42578125" hidden="1"/>
    <col min="6401" max="6401" width="2.7109375" customWidth="1"/>
    <col min="6402" max="6402" width="8.85546875" customWidth="1"/>
    <col min="6403" max="6403" width="15.28515625" customWidth="1"/>
    <col min="6404" max="6409" width="21.140625" customWidth="1"/>
    <col min="6410" max="6410" width="2.7109375" customWidth="1"/>
    <col min="6411" max="6656" width="11.42578125" hidden="1"/>
    <col min="6657" max="6657" width="2.7109375" customWidth="1"/>
    <col min="6658" max="6658" width="8.85546875" customWidth="1"/>
    <col min="6659" max="6659" width="15.28515625" customWidth="1"/>
    <col min="6660" max="6665" width="21.140625" customWidth="1"/>
    <col min="6666" max="6666" width="2.7109375" customWidth="1"/>
    <col min="6667" max="6912" width="11.42578125" hidden="1"/>
    <col min="6913" max="6913" width="2.7109375" customWidth="1"/>
    <col min="6914" max="6914" width="8.85546875" customWidth="1"/>
    <col min="6915" max="6915" width="15.28515625" customWidth="1"/>
    <col min="6916" max="6921" width="21.140625" customWidth="1"/>
    <col min="6922" max="6922" width="2.7109375" customWidth="1"/>
    <col min="6923" max="7168" width="11.42578125" hidden="1"/>
    <col min="7169" max="7169" width="2.7109375" customWidth="1"/>
    <col min="7170" max="7170" width="8.85546875" customWidth="1"/>
    <col min="7171" max="7171" width="15.28515625" customWidth="1"/>
    <col min="7172" max="7177" width="21.140625" customWidth="1"/>
    <col min="7178" max="7178" width="2.7109375" customWidth="1"/>
    <col min="7179" max="7424" width="11.42578125" hidden="1"/>
    <col min="7425" max="7425" width="2.7109375" customWidth="1"/>
    <col min="7426" max="7426" width="8.85546875" customWidth="1"/>
    <col min="7427" max="7427" width="15.28515625" customWidth="1"/>
    <col min="7428" max="7433" width="21.140625" customWidth="1"/>
    <col min="7434" max="7434" width="2.7109375" customWidth="1"/>
    <col min="7435" max="7680" width="11.42578125" hidden="1"/>
    <col min="7681" max="7681" width="2.7109375" customWidth="1"/>
    <col min="7682" max="7682" width="8.85546875" customWidth="1"/>
    <col min="7683" max="7683" width="15.28515625" customWidth="1"/>
    <col min="7684" max="7689" width="21.140625" customWidth="1"/>
    <col min="7690" max="7690" width="2.7109375" customWidth="1"/>
    <col min="7691" max="7936" width="11.42578125" hidden="1"/>
    <col min="7937" max="7937" width="2.7109375" customWidth="1"/>
    <col min="7938" max="7938" width="8.85546875" customWidth="1"/>
    <col min="7939" max="7939" width="15.28515625" customWidth="1"/>
    <col min="7940" max="7945" width="21.140625" customWidth="1"/>
    <col min="7946" max="7946" width="2.7109375" customWidth="1"/>
    <col min="7947" max="8192" width="11.42578125" hidden="1"/>
    <col min="8193" max="8193" width="2.7109375" customWidth="1"/>
    <col min="8194" max="8194" width="8.85546875" customWidth="1"/>
    <col min="8195" max="8195" width="15.28515625" customWidth="1"/>
    <col min="8196" max="8201" width="21.140625" customWidth="1"/>
    <col min="8202" max="8202" width="2.7109375" customWidth="1"/>
    <col min="8203" max="8448" width="11.42578125" hidden="1"/>
    <col min="8449" max="8449" width="2.7109375" customWidth="1"/>
    <col min="8450" max="8450" width="8.85546875" customWidth="1"/>
    <col min="8451" max="8451" width="15.28515625" customWidth="1"/>
    <col min="8452" max="8457" width="21.140625" customWidth="1"/>
    <col min="8458" max="8458" width="2.7109375" customWidth="1"/>
    <col min="8459" max="8704" width="11.42578125" hidden="1"/>
    <col min="8705" max="8705" width="2.7109375" customWidth="1"/>
    <col min="8706" max="8706" width="8.85546875" customWidth="1"/>
    <col min="8707" max="8707" width="15.28515625" customWidth="1"/>
    <col min="8708" max="8713" width="21.140625" customWidth="1"/>
    <col min="8714" max="8714" width="2.7109375" customWidth="1"/>
    <col min="8715" max="8960" width="11.42578125" hidden="1"/>
    <col min="8961" max="8961" width="2.7109375" customWidth="1"/>
    <col min="8962" max="8962" width="8.85546875" customWidth="1"/>
    <col min="8963" max="8963" width="15.28515625" customWidth="1"/>
    <col min="8964" max="8969" width="21.140625" customWidth="1"/>
    <col min="8970" max="8970" width="2.7109375" customWidth="1"/>
    <col min="8971" max="9216" width="11.42578125" hidden="1"/>
    <col min="9217" max="9217" width="2.7109375" customWidth="1"/>
    <col min="9218" max="9218" width="8.85546875" customWidth="1"/>
    <col min="9219" max="9219" width="15.28515625" customWidth="1"/>
    <col min="9220" max="9225" width="21.140625" customWidth="1"/>
    <col min="9226" max="9226" width="2.7109375" customWidth="1"/>
    <col min="9227" max="9472" width="11.42578125" hidden="1"/>
    <col min="9473" max="9473" width="2.7109375" customWidth="1"/>
    <col min="9474" max="9474" width="8.85546875" customWidth="1"/>
    <col min="9475" max="9475" width="15.28515625" customWidth="1"/>
    <col min="9476" max="9481" width="21.140625" customWidth="1"/>
    <col min="9482" max="9482" width="2.7109375" customWidth="1"/>
    <col min="9483" max="9728" width="11.42578125" hidden="1"/>
    <col min="9729" max="9729" width="2.7109375" customWidth="1"/>
    <col min="9730" max="9730" width="8.85546875" customWidth="1"/>
    <col min="9731" max="9731" width="15.28515625" customWidth="1"/>
    <col min="9732" max="9737" width="21.140625" customWidth="1"/>
    <col min="9738" max="9738" width="2.7109375" customWidth="1"/>
    <col min="9739" max="9984" width="11.42578125" hidden="1"/>
    <col min="9985" max="9985" width="2.7109375" customWidth="1"/>
    <col min="9986" max="9986" width="8.85546875" customWidth="1"/>
    <col min="9987" max="9987" width="15.28515625" customWidth="1"/>
    <col min="9988" max="9993" width="21.140625" customWidth="1"/>
    <col min="9994" max="9994" width="2.7109375" customWidth="1"/>
    <col min="9995" max="10240" width="11.42578125" hidden="1"/>
    <col min="10241" max="10241" width="2.7109375" customWidth="1"/>
    <col min="10242" max="10242" width="8.85546875" customWidth="1"/>
    <col min="10243" max="10243" width="15.28515625" customWidth="1"/>
    <col min="10244" max="10249" width="21.140625" customWidth="1"/>
    <col min="10250" max="10250" width="2.7109375" customWidth="1"/>
    <col min="10251" max="10496" width="11.42578125" hidden="1"/>
    <col min="10497" max="10497" width="2.7109375" customWidth="1"/>
    <col min="10498" max="10498" width="8.85546875" customWidth="1"/>
    <col min="10499" max="10499" width="15.28515625" customWidth="1"/>
    <col min="10500" max="10505" width="21.140625" customWidth="1"/>
    <col min="10506" max="10506" width="2.7109375" customWidth="1"/>
    <col min="10507" max="10752" width="11.42578125" hidden="1"/>
    <col min="10753" max="10753" width="2.7109375" customWidth="1"/>
    <col min="10754" max="10754" width="8.85546875" customWidth="1"/>
    <col min="10755" max="10755" width="15.28515625" customWidth="1"/>
    <col min="10756" max="10761" width="21.140625" customWidth="1"/>
    <col min="10762" max="10762" width="2.7109375" customWidth="1"/>
    <col min="10763" max="11008" width="11.42578125" hidden="1"/>
    <col min="11009" max="11009" width="2.7109375" customWidth="1"/>
    <col min="11010" max="11010" width="8.85546875" customWidth="1"/>
    <col min="11011" max="11011" width="15.28515625" customWidth="1"/>
    <col min="11012" max="11017" width="21.140625" customWidth="1"/>
    <col min="11018" max="11018" width="2.7109375" customWidth="1"/>
    <col min="11019" max="11264" width="11.42578125" hidden="1"/>
    <col min="11265" max="11265" width="2.7109375" customWidth="1"/>
    <col min="11266" max="11266" width="8.85546875" customWidth="1"/>
    <col min="11267" max="11267" width="15.28515625" customWidth="1"/>
    <col min="11268" max="11273" width="21.140625" customWidth="1"/>
    <col min="11274" max="11274" width="2.7109375" customWidth="1"/>
    <col min="11275" max="11520" width="11.42578125" hidden="1"/>
    <col min="11521" max="11521" width="2.7109375" customWidth="1"/>
    <col min="11522" max="11522" width="8.85546875" customWidth="1"/>
    <col min="11523" max="11523" width="15.28515625" customWidth="1"/>
    <col min="11524" max="11529" width="21.140625" customWidth="1"/>
    <col min="11530" max="11530" width="2.7109375" customWidth="1"/>
    <col min="11531" max="11776" width="11.42578125" hidden="1"/>
    <col min="11777" max="11777" width="2.7109375" customWidth="1"/>
    <col min="11778" max="11778" width="8.85546875" customWidth="1"/>
    <col min="11779" max="11779" width="15.28515625" customWidth="1"/>
    <col min="11780" max="11785" width="21.140625" customWidth="1"/>
    <col min="11786" max="11786" width="2.7109375" customWidth="1"/>
    <col min="11787" max="12032" width="11.42578125" hidden="1"/>
    <col min="12033" max="12033" width="2.7109375" customWidth="1"/>
    <col min="12034" max="12034" width="8.85546875" customWidth="1"/>
    <col min="12035" max="12035" width="15.28515625" customWidth="1"/>
    <col min="12036" max="12041" width="21.140625" customWidth="1"/>
    <col min="12042" max="12042" width="2.7109375" customWidth="1"/>
    <col min="12043" max="12288" width="11.42578125" hidden="1"/>
    <col min="12289" max="12289" width="2.7109375" customWidth="1"/>
    <col min="12290" max="12290" width="8.85546875" customWidth="1"/>
    <col min="12291" max="12291" width="15.28515625" customWidth="1"/>
    <col min="12292" max="12297" width="21.140625" customWidth="1"/>
    <col min="12298" max="12298" width="2.7109375" customWidth="1"/>
    <col min="12299" max="12544" width="11.42578125" hidden="1"/>
    <col min="12545" max="12545" width="2.7109375" customWidth="1"/>
    <col min="12546" max="12546" width="8.85546875" customWidth="1"/>
    <col min="12547" max="12547" width="15.28515625" customWidth="1"/>
    <col min="12548" max="12553" width="21.140625" customWidth="1"/>
    <col min="12554" max="12554" width="2.7109375" customWidth="1"/>
    <col min="12555" max="12800" width="11.42578125" hidden="1"/>
    <col min="12801" max="12801" width="2.7109375" customWidth="1"/>
    <col min="12802" max="12802" width="8.85546875" customWidth="1"/>
    <col min="12803" max="12803" width="15.28515625" customWidth="1"/>
    <col min="12804" max="12809" width="21.140625" customWidth="1"/>
    <col min="12810" max="12810" width="2.7109375" customWidth="1"/>
    <col min="12811" max="13056" width="11.42578125" hidden="1"/>
    <col min="13057" max="13057" width="2.7109375" customWidth="1"/>
    <col min="13058" max="13058" width="8.85546875" customWidth="1"/>
    <col min="13059" max="13059" width="15.28515625" customWidth="1"/>
    <col min="13060" max="13065" width="21.140625" customWidth="1"/>
    <col min="13066" max="13066" width="2.7109375" customWidth="1"/>
    <col min="13067" max="13312" width="11.42578125" hidden="1"/>
    <col min="13313" max="13313" width="2.7109375" customWidth="1"/>
    <col min="13314" max="13314" width="8.85546875" customWidth="1"/>
    <col min="13315" max="13315" width="15.28515625" customWidth="1"/>
    <col min="13316" max="13321" width="21.140625" customWidth="1"/>
    <col min="13322" max="13322" width="2.7109375" customWidth="1"/>
    <col min="13323" max="13568" width="11.42578125" hidden="1"/>
    <col min="13569" max="13569" width="2.7109375" customWidth="1"/>
    <col min="13570" max="13570" width="8.85546875" customWidth="1"/>
    <col min="13571" max="13571" width="15.28515625" customWidth="1"/>
    <col min="13572" max="13577" width="21.140625" customWidth="1"/>
    <col min="13578" max="13578" width="2.7109375" customWidth="1"/>
    <col min="13579" max="13824" width="11.42578125" hidden="1"/>
    <col min="13825" max="13825" width="2.7109375" customWidth="1"/>
    <col min="13826" max="13826" width="8.85546875" customWidth="1"/>
    <col min="13827" max="13827" width="15.28515625" customWidth="1"/>
    <col min="13828" max="13833" width="21.140625" customWidth="1"/>
    <col min="13834" max="13834" width="2.7109375" customWidth="1"/>
    <col min="13835" max="14080" width="11.42578125" hidden="1"/>
    <col min="14081" max="14081" width="2.7109375" customWidth="1"/>
    <col min="14082" max="14082" width="8.85546875" customWidth="1"/>
    <col min="14083" max="14083" width="15.28515625" customWidth="1"/>
    <col min="14084" max="14089" width="21.140625" customWidth="1"/>
    <col min="14090" max="14090" width="2.7109375" customWidth="1"/>
    <col min="14091" max="14336" width="11.42578125" hidden="1"/>
    <col min="14337" max="14337" width="2.7109375" customWidth="1"/>
    <col min="14338" max="14338" width="8.85546875" customWidth="1"/>
    <col min="14339" max="14339" width="15.28515625" customWidth="1"/>
    <col min="14340" max="14345" width="21.140625" customWidth="1"/>
    <col min="14346" max="14346" width="2.7109375" customWidth="1"/>
    <col min="14347" max="14592" width="11.42578125" hidden="1"/>
    <col min="14593" max="14593" width="2.7109375" customWidth="1"/>
    <col min="14594" max="14594" width="8.85546875" customWidth="1"/>
    <col min="14595" max="14595" width="15.28515625" customWidth="1"/>
    <col min="14596" max="14601" width="21.140625" customWidth="1"/>
    <col min="14602" max="14602" width="2.7109375" customWidth="1"/>
    <col min="14603" max="14848" width="11.42578125" hidden="1"/>
    <col min="14849" max="14849" width="2.7109375" customWidth="1"/>
    <col min="14850" max="14850" width="8.85546875" customWidth="1"/>
    <col min="14851" max="14851" width="15.28515625" customWidth="1"/>
    <col min="14852" max="14857" width="21.140625" customWidth="1"/>
    <col min="14858" max="14858" width="2.7109375" customWidth="1"/>
    <col min="14859" max="15104" width="11.42578125" hidden="1"/>
    <col min="15105" max="15105" width="2.7109375" customWidth="1"/>
    <col min="15106" max="15106" width="8.85546875" customWidth="1"/>
    <col min="15107" max="15107" width="15.28515625" customWidth="1"/>
    <col min="15108" max="15113" width="21.140625" customWidth="1"/>
    <col min="15114" max="15114" width="2.7109375" customWidth="1"/>
    <col min="15115" max="15360" width="11.42578125" hidden="1"/>
    <col min="15361" max="15361" width="2.7109375" customWidth="1"/>
    <col min="15362" max="15362" width="8.85546875" customWidth="1"/>
    <col min="15363" max="15363" width="15.28515625" customWidth="1"/>
    <col min="15364" max="15369" width="21.140625" customWidth="1"/>
    <col min="15370" max="15370" width="2.7109375" customWidth="1"/>
    <col min="15371" max="15616" width="11.42578125" hidden="1"/>
    <col min="15617" max="15617" width="2.7109375" customWidth="1"/>
    <col min="15618" max="15618" width="8.85546875" customWidth="1"/>
    <col min="15619" max="15619" width="15.28515625" customWidth="1"/>
    <col min="15620" max="15625" width="21.140625" customWidth="1"/>
    <col min="15626" max="15626" width="2.7109375" customWidth="1"/>
    <col min="15627" max="15872" width="11.42578125" hidden="1"/>
    <col min="15873" max="15873" width="2.7109375" customWidth="1"/>
    <col min="15874" max="15874" width="8.85546875" customWidth="1"/>
    <col min="15875" max="15875" width="15.28515625" customWidth="1"/>
    <col min="15876" max="15881" width="21.140625" customWidth="1"/>
    <col min="15882" max="15882" width="2.7109375" customWidth="1"/>
    <col min="15883" max="16128" width="11.42578125" hidden="1"/>
    <col min="16129" max="16129" width="2.7109375" customWidth="1"/>
    <col min="16130" max="16130" width="8.85546875" customWidth="1"/>
    <col min="16131" max="16131" width="15.28515625" customWidth="1"/>
    <col min="16132" max="16137" width="21.140625" customWidth="1"/>
    <col min="16138" max="16138" width="2.7109375" customWidth="1"/>
    <col min="16139" max="16384" width="11.42578125" hidden="1"/>
  </cols>
  <sheetData>
    <row r="1" spans="2:9"/>
    <row r="2" spans="2:9">
      <c r="B2" s="628" t="s">
        <v>412</v>
      </c>
      <c r="C2" s="629"/>
      <c r="D2" s="629"/>
      <c r="E2" s="629"/>
      <c r="F2" s="629"/>
      <c r="G2" s="629"/>
      <c r="H2" s="629"/>
      <c r="I2" s="630"/>
    </row>
    <row r="3" spans="2:9">
      <c r="B3" s="631" t="s">
        <v>4</v>
      </c>
      <c r="C3" s="632"/>
      <c r="D3" s="632"/>
      <c r="E3" s="632"/>
      <c r="F3" s="632"/>
      <c r="G3" s="632"/>
      <c r="H3" s="632"/>
      <c r="I3" s="633"/>
    </row>
    <row r="4" spans="2:9">
      <c r="B4" s="634" t="s">
        <v>230</v>
      </c>
      <c r="C4" s="635"/>
      <c r="D4" s="635"/>
      <c r="E4" s="635"/>
      <c r="F4" s="635"/>
      <c r="G4" s="635"/>
      <c r="H4" s="635"/>
      <c r="I4" s="636"/>
    </row>
    <row r="5" spans="2:9">
      <c r="B5" s="634" t="s">
        <v>249</v>
      </c>
      <c r="C5" s="635"/>
      <c r="D5" s="635"/>
      <c r="E5" s="635"/>
      <c r="F5" s="635"/>
      <c r="G5" s="635"/>
      <c r="H5" s="635"/>
      <c r="I5" s="636"/>
    </row>
    <row r="6" spans="2:9">
      <c r="B6" s="637" t="s">
        <v>416</v>
      </c>
      <c r="C6" s="638"/>
      <c r="D6" s="638"/>
      <c r="E6" s="638"/>
      <c r="F6" s="638"/>
      <c r="G6" s="638"/>
      <c r="H6" s="638"/>
      <c r="I6" s="639"/>
    </row>
    <row r="7" spans="2:9">
      <c r="B7" s="234"/>
      <c r="C7" s="234"/>
      <c r="D7" s="234"/>
      <c r="E7" s="234"/>
      <c r="F7" s="234"/>
      <c r="G7" s="234"/>
      <c r="H7" s="234"/>
      <c r="I7" s="234"/>
    </row>
    <row r="8" spans="2:9">
      <c r="B8" s="640" t="s">
        <v>67</v>
      </c>
      <c r="C8" s="641"/>
      <c r="D8" s="646" t="s">
        <v>250</v>
      </c>
      <c r="E8" s="647"/>
      <c r="F8" s="647"/>
      <c r="G8" s="647"/>
      <c r="H8" s="648"/>
      <c r="I8" s="649" t="s">
        <v>233</v>
      </c>
    </row>
    <row r="9" spans="2:9" ht="27" customHeight="1">
      <c r="B9" s="642"/>
      <c r="C9" s="643"/>
      <c r="D9" s="284" t="s">
        <v>234</v>
      </c>
      <c r="E9" s="285" t="s">
        <v>235</v>
      </c>
      <c r="F9" s="284" t="s">
        <v>206</v>
      </c>
      <c r="G9" s="284" t="s">
        <v>207</v>
      </c>
      <c r="H9" s="284" t="s">
        <v>236</v>
      </c>
      <c r="I9" s="650"/>
    </row>
    <row r="10" spans="2:9">
      <c r="B10" s="644"/>
      <c r="C10" s="645"/>
      <c r="D10" s="284">
        <v>1</v>
      </c>
      <c r="E10" s="284">
        <v>2</v>
      </c>
      <c r="F10" s="284" t="s">
        <v>237</v>
      </c>
      <c r="G10" s="284">
        <v>4</v>
      </c>
      <c r="H10" s="284">
        <v>5</v>
      </c>
      <c r="I10" s="284" t="s">
        <v>238</v>
      </c>
    </row>
    <row r="11" spans="2:9">
      <c r="B11" s="286"/>
      <c r="C11" s="287"/>
      <c r="D11" s="288"/>
      <c r="E11" s="288"/>
      <c r="F11" s="288"/>
      <c r="G11" s="288"/>
      <c r="H11" s="288"/>
      <c r="I11" s="288"/>
    </row>
    <row r="12" spans="2:9">
      <c r="B12" s="626" t="s">
        <v>251</v>
      </c>
      <c r="C12" s="627"/>
      <c r="D12" s="289">
        <v>27688761</v>
      </c>
      <c r="E12" s="289">
        <v>5727883.9800000004</v>
      </c>
      <c r="F12" s="290">
        <f>IF(AND(D12&gt;=0,E12&gt;=0),(D12+E12),"-")</f>
        <v>33416644.98</v>
      </c>
      <c r="G12" s="289">
        <v>29956076.899999999</v>
      </c>
      <c r="H12" s="289">
        <v>29691476.280000001</v>
      </c>
      <c r="I12" s="290">
        <f>IF(AND(F12&gt;=0,G12&gt;=0),(F12-G12),"-")</f>
        <v>3460568.0800000019</v>
      </c>
    </row>
    <row r="13" spans="2:9">
      <c r="B13" s="270"/>
      <c r="C13" s="271"/>
      <c r="D13" s="290"/>
      <c r="E13" s="290"/>
      <c r="F13" s="290"/>
      <c r="G13" s="290"/>
      <c r="H13" s="290"/>
      <c r="I13" s="290"/>
    </row>
    <row r="14" spans="2:9" ht="15" customHeight="1">
      <c r="B14" s="626" t="s">
        <v>252</v>
      </c>
      <c r="C14" s="627"/>
      <c r="D14" s="289"/>
      <c r="E14" s="289">
        <v>14771258.76</v>
      </c>
      <c r="F14" s="290">
        <f>IF(AND(D14&gt;=0,E14&gt;=0),(D14+E14),"-")</f>
        <v>14771258.76</v>
      </c>
      <c r="G14" s="289">
        <v>607699.18000000005</v>
      </c>
      <c r="H14" s="289">
        <v>65015.18</v>
      </c>
      <c r="I14" s="290">
        <f>IF(AND(F14&gt;=0,G14&gt;=0),(F14-G14),"-")</f>
        <v>14163559.58</v>
      </c>
    </row>
    <row r="15" spans="2:9">
      <c r="B15" s="270"/>
      <c r="C15" s="271"/>
      <c r="D15" s="290"/>
      <c r="E15" s="290"/>
      <c r="F15" s="290"/>
      <c r="G15" s="290"/>
      <c r="H15" s="290"/>
      <c r="I15" s="290"/>
    </row>
    <row r="16" spans="2:9" ht="23.25" customHeight="1">
      <c r="B16" s="626" t="s">
        <v>253</v>
      </c>
      <c r="C16" s="627"/>
      <c r="D16" s="289"/>
      <c r="E16" s="289"/>
      <c r="F16" s="290">
        <f>IF(AND(D16&gt;=0,E16&gt;=0),(D16+E16),"-")</f>
        <v>0</v>
      </c>
      <c r="G16" s="289"/>
      <c r="H16" s="289"/>
      <c r="I16" s="290">
        <f>IF(AND(F16&gt;=0,G16&gt;=0),(F16-G16),"-")</f>
        <v>0</v>
      </c>
    </row>
    <row r="17" spans="2:9">
      <c r="B17" s="291"/>
      <c r="C17" s="292"/>
      <c r="D17" s="293"/>
      <c r="E17" s="293"/>
      <c r="F17" s="293"/>
      <c r="G17" s="293"/>
      <c r="H17" s="293"/>
      <c r="I17" s="293"/>
    </row>
    <row r="18" spans="2:9">
      <c r="B18" s="291"/>
      <c r="C18" s="292" t="s">
        <v>248</v>
      </c>
      <c r="D18" s="294">
        <f t="shared" ref="D18:I18" si="0">SUM(D12+D14+D16)</f>
        <v>27688761</v>
      </c>
      <c r="E18" s="294">
        <f t="shared" si="0"/>
        <v>20499142.740000002</v>
      </c>
      <c r="F18" s="294">
        <f t="shared" si="0"/>
        <v>48187903.740000002</v>
      </c>
      <c r="G18" s="294">
        <f t="shared" si="0"/>
        <v>30563776.079999998</v>
      </c>
      <c r="H18" s="294">
        <f t="shared" si="0"/>
        <v>29756491.460000001</v>
      </c>
      <c r="I18" s="294">
        <f t="shared" si="0"/>
        <v>17624127.660000004</v>
      </c>
    </row>
    <row r="19" spans="2:9">
      <c r="B19" s="295"/>
      <c r="C19" s="295"/>
      <c r="D19" s="296"/>
      <c r="E19" s="296"/>
      <c r="F19" s="296"/>
      <c r="G19" s="296"/>
      <c r="H19" s="296"/>
      <c r="I19" s="296"/>
    </row>
    <row r="20" spans="2:9">
      <c r="B20" s="295"/>
      <c r="C20" s="295"/>
      <c r="D20" s="296"/>
      <c r="E20" s="296"/>
      <c r="F20" s="296"/>
      <c r="G20" s="296"/>
      <c r="H20" s="296"/>
      <c r="I20" s="296"/>
    </row>
    <row r="21" spans="2:9">
      <c r="B21" s="295"/>
      <c r="C21" s="295"/>
      <c r="D21" s="296"/>
      <c r="E21" s="296"/>
      <c r="F21" s="296"/>
      <c r="G21" s="296"/>
      <c r="H21" s="296"/>
      <c r="I21" s="296"/>
    </row>
    <row r="22" spans="2:9">
      <c r="B22" s="295"/>
      <c r="C22" s="295"/>
      <c r="D22" s="296"/>
      <c r="E22" s="296"/>
      <c r="F22" s="296"/>
      <c r="G22" s="296"/>
      <c r="H22" s="296"/>
      <c r="I22" s="296"/>
    </row>
    <row r="23" spans="2:9">
      <c r="B23" s="295"/>
      <c r="C23" s="295"/>
      <c r="D23" s="296"/>
      <c r="E23" s="296"/>
      <c r="F23" s="296"/>
      <c r="G23" s="296"/>
      <c r="H23" s="296"/>
      <c r="I23" s="296"/>
    </row>
    <row r="24" spans="2:9">
      <c r="B24" s="295"/>
      <c r="C24" s="295"/>
      <c r="D24" s="296"/>
      <c r="E24" s="296"/>
      <c r="F24" s="296"/>
      <c r="G24" s="296"/>
      <c r="H24" s="296"/>
      <c r="I24" s="296"/>
    </row>
    <row r="25" spans="2:9">
      <c r="B25" s="295"/>
      <c r="C25" s="295"/>
      <c r="D25" s="296"/>
      <c r="E25" s="296"/>
      <c r="F25" s="296"/>
      <c r="G25" s="296"/>
      <c r="H25" s="296"/>
      <c r="I25" s="296"/>
    </row>
    <row r="26" spans="2:9">
      <c r="B26" s="295"/>
      <c r="C26" s="295"/>
      <c r="D26" s="296"/>
      <c r="E26" s="296"/>
      <c r="F26" s="296"/>
      <c r="G26" s="296"/>
      <c r="H26" s="296"/>
      <c r="I26" s="296"/>
    </row>
    <row r="27" spans="2:9"/>
  </sheetData>
  <mergeCells count="11">
    <mergeCell ref="B12:C12"/>
    <mergeCell ref="B14:C14"/>
    <mergeCell ref="B16:C16"/>
    <mergeCell ref="B2:I2"/>
    <mergeCell ref="B3:I3"/>
    <mergeCell ref="B4:I4"/>
    <mergeCell ref="B5:I5"/>
    <mergeCell ref="B6:I6"/>
    <mergeCell ref="B8:C10"/>
    <mergeCell ref="D8:H8"/>
    <mergeCell ref="I8:I9"/>
  </mergeCells>
  <pageMargins left="0.70866141732283472" right="0.70866141732283472" top="0.74803149606299213" bottom="0.74803149606299213" header="0.31496062992125984" footer="0.31496062992125984"/>
  <pageSetup scale="79" orientation="landscape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B3:K65536"/>
  <sheetViews>
    <sheetView showGridLines="0" topLeftCell="A67" zoomScale="80" zoomScaleNormal="80" workbookViewId="0">
      <selection activeCell="D12" sqref="D12"/>
    </sheetView>
  </sheetViews>
  <sheetFormatPr baseColWidth="10" defaultColWidth="0" defaultRowHeight="15"/>
  <cols>
    <col min="1" max="1" width="2.7109375" customWidth="1"/>
    <col min="2" max="2" width="7.140625" customWidth="1"/>
    <col min="3" max="3" width="64.28515625" customWidth="1"/>
    <col min="4" max="9" width="21" customWidth="1"/>
    <col min="10" max="10" width="2.7109375" customWidth="1"/>
    <col min="11" max="11" width="11.42578125" hidden="1" customWidth="1"/>
    <col min="257" max="257" width="2.7109375" customWidth="1"/>
    <col min="258" max="258" width="7.140625" customWidth="1"/>
    <col min="259" max="259" width="64.28515625" customWidth="1"/>
    <col min="260" max="265" width="21" customWidth="1"/>
    <col min="266" max="266" width="2.7109375" customWidth="1"/>
    <col min="267" max="267" width="0" hidden="1" customWidth="1"/>
    <col min="513" max="513" width="2.7109375" customWidth="1"/>
    <col min="514" max="514" width="7.140625" customWidth="1"/>
    <col min="515" max="515" width="64.28515625" customWidth="1"/>
    <col min="516" max="521" width="21" customWidth="1"/>
    <col min="522" max="522" width="2.7109375" customWidth="1"/>
    <col min="523" max="523" width="0" hidden="1" customWidth="1"/>
    <col min="769" max="769" width="2.7109375" customWidth="1"/>
    <col min="770" max="770" width="7.140625" customWidth="1"/>
    <col min="771" max="771" width="64.28515625" customWidth="1"/>
    <col min="772" max="777" width="21" customWidth="1"/>
    <col min="778" max="778" width="2.7109375" customWidth="1"/>
    <col min="779" max="779" width="0" hidden="1" customWidth="1"/>
    <col min="1025" max="1025" width="2.7109375" customWidth="1"/>
    <col min="1026" max="1026" width="7.140625" customWidth="1"/>
    <col min="1027" max="1027" width="64.28515625" customWidth="1"/>
    <col min="1028" max="1033" width="21" customWidth="1"/>
    <col min="1034" max="1034" width="2.7109375" customWidth="1"/>
    <col min="1035" max="1035" width="0" hidden="1" customWidth="1"/>
    <col min="1281" max="1281" width="2.7109375" customWidth="1"/>
    <col min="1282" max="1282" width="7.140625" customWidth="1"/>
    <col min="1283" max="1283" width="64.28515625" customWidth="1"/>
    <col min="1284" max="1289" width="21" customWidth="1"/>
    <col min="1290" max="1290" width="2.7109375" customWidth="1"/>
    <col min="1291" max="1291" width="0" hidden="1" customWidth="1"/>
    <col min="1537" max="1537" width="2.7109375" customWidth="1"/>
    <col min="1538" max="1538" width="7.140625" customWidth="1"/>
    <col min="1539" max="1539" width="64.28515625" customWidth="1"/>
    <col min="1540" max="1545" width="21" customWidth="1"/>
    <col min="1546" max="1546" width="2.7109375" customWidth="1"/>
    <col min="1547" max="1547" width="0" hidden="1" customWidth="1"/>
    <col min="1793" max="1793" width="2.7109375" customWidth="1"/>
    <col min="1794" max="1794" width="7.140625" customWidth="1"/>
    <col min="1795" max="1795" width="64.28515625" customWidth="1"/>
    <col min="1796" max="1801" width="21" customWidth="1"/>
    <col min="1802" max="1802" width="2.7109375" customWidth="1"/>
    <col min="1803" max="1803" width="0" hidden="1" customWidth="1"/>
    <col min="2049" max="2049" width="2.7109375" customWidth="1"/>
    <col min="2050" max="2050" width="7.140625" customWidth="1"/>
    <col min="2051" max="2051" width="64.28515625" customWidth="1"/>
    <col min="2052" max="2057" width="21" customWidth="1"/>
    <col min="2058" max="2058" width="2.7109375" customWidth="1"/>
    <col min="2059" max="2059" width="0" hidden="1" customWidth="1"/>
    <col min="2305" max="2305" width="2.7109375" customWidth="1"/>
    <col min="2306" max="2306" width="7.140625" customWidth="1"/>
    <col min="2307" max="2307" width="64.28515625" customWidth="1"/>
    <col min="2308" max="2313" width="21" customWidth="1"/>
    <col min="2314" max="2314" width="2.7109375" customWidth="1"/>
    <col min="2315" max="2315" width="0" hidden="1" customWidth="1"/>
    <col min="2561" max="2561" width="2.7109375" customWidth="1"/>
    <col min="2562" max="2562" width="7.140625" customWidth="1"/>
    <col min="2563" max="2563" width="64.28515625" customWidth="1"/>
    <col min="2564" max="2569" width="21" customWidth="1"/>
    <col min="2570" max="2570" width="2.7109375" customWidth="1"/>
    <col min="2571" max="2571" width="0" hidden="1" customWidth="1"/>
    <col min="2817" max="2817" width="2.7109375" customWidth="1"/>
    <col min="2818" max="2818" width="7.140625" customWidth="1"/>
    <col min="2819" max="2819" width="64.28515625" customWidth="1"/>
    <col min="2820" max="2825" width="21" customWidth="1"/>
    <col min="2826" max="2826" width="2.7109375" customWidth="1"/>
    <col min="2827" max="2827" width="0" hidden="1" customWidth="1"/>
    <col min="3073" max="3073" width="2.7109375" customWidth="1"/>
    <col min="3074" max="3074" width="7.140625" customWidth="1"/>
    <col min="3075" max="3075" width="64.28515625" customWidth="1"/>
    <col min="3076" max="3081" width="21" customWidth="1"/>
    <col min="3082" max="3082" width="2.7109375" customWidth="1"/>
    <col min="3083" max="3083" width="0" hidden="1" customWidth="1"/>
    <col min="3329" max="3329" width="2.7109375" customWidth="1"/>
    <col min="3330" max="3330" width="7.140625" customWidth="1"/>
    <col min="3331" max="3331" width="64.28515625" customWidth="1"/>
    <col min="3332" max="3337" width="21" customWidth="1"/>
    <col min="3338" max="3338" width="2.7109375" customWidth="1"/>
    <col min="3339" max="3339" width="0" hidden="1" customWidth="1"/>
    <col min="3585" max="3585" width="2.7109375" customWidth="1"/>
    <col min="3586" max="3586" width="7.140625" customWidth="1"/>
    <col min="3587" max="3587" width="64.28515625" customWidth="1"/>
    <col min="3588" max="3593" width="21" customWidth="1"/>
    <col min="3594" max="3594" width="2.7109375" customWidth="1"/>
    <col min="3595" max="3595" width="0" hidden="1" customWidth="1"/>
    <col min="3841" max="3841" width="2.7109375" customWidth="1"/>
    <col min="3842" max="3842" width="7.140625" customWidth="1"/>
    <col min="3843" max="3843" width="64.28515625" customWidth="1"/>
    <col min="3844" max="3849" width="21" customWidth="1"/>
    <col min="3850" max="3850" width="2.7109375" customWidth="1"/>
    <col min="3851" max="3851" width="0" hidden="1" customWidth="1"/>
    <col min="4097" max="4097" width="2.7109375" customWidth="1"/>
    <col min="4098" max="4098" width="7.140625" customWidth="1"/>
    <col min="4099" max="4099" width="64.28515625" customWidth="1"/>
    <col min="4100" max="4105" width="21" customWidth="1"/>
    <col min="4106" max="4106" width="2.7109375" customWidth="1"/>
    <col min="4107" max="4107" width="0" hidden="1" customWidth="1"/>
    <col min="4353" max="4353" width="2.7109375" customWidth="1"/>
    <col min="4354" max="4354" width="7.140625" customWidth="1"/>
    <col min="4355" max="4355" width="64.28515625" customWidth="1"/>
    <col min="4356" max="4361" width="21" customWidth="1"/>
    <col min="4362" max="4362" width="2.7109375" customWidth="1"/>
    <col min="4363" max="4363" width="0" hidden="1" customWidth="1"/>
    <col min="4609" max="4609" width="2.7109375" customWidth="1"/>
    <col min="4610" max="4610" width="7.140625" customWidth="1"/>
    <col min="4611" max="4611" width="64.28515625" customWidth="1"/>
    <col min="4612" max="4617" width="21" customWidth="1"/>
    <col min="4618" max="4618" width="2.7109375" customWidth="1"/>
    <col min="4619" max="4619" width="0" hidden="1" customWidth="1"/>
    <col min="4865" max="4865" width="2.7109375" customWidth="1"/>
    <col min="4866" max="4866" width="7.140625" customWidth="1"/>
    <col min="4867" max="4867" width="64.28515625" customWidth="1"/>
    <col min="4868" max="4873" width="21" customWidth="1"/>
    <col min="4874" max="4874" width="2.7109375" customWidth="1"/>
    <col min="4875" max="4875" width="0" hidden="1" customWidth="1"/>
    <col min="5121" max="5121" width="2.7109375" customWidth="1"/>
    <col min="5122" max="5122" width="7.140625" customWidth="1"/>
    <col min="5123" max="5123" width="64.28515625" customWidth="1"/>
    <col min="5124" max="5129" width="21" customWidth="1"/>
    <col min="5130" max="5130" width="2.7109375" customWidth="1"/>
    <col min="5131" max="5131" width="0" hidden="1" customWidth="1"/>
    <col min="5377" max="5377" width="2.7109375" customWidth="1"/>
    <col min="5378" max="5378" width="7.140625" customWidth="1"/>
    <col min="5379" max="5379" width="64.28515625" customWidth="1"/>
    <col min="5380" max="5385" width="21" customWidth="1"/>
    <col min="5386" max="5386" width="2.7109375" customWidth="1"/>
    <col min="5387" max="5387" width="0" hidden="1" customWidth="1"/>
    <col min="5633" max="5633" width="2.7109375" customWidth="1"/>
    <col min="5634" max="5634" width="7.140625" customWidth="1"/>
    <col min="5635" max="5635" width="64.28515625" customWidth="1"/>
    <col min="5636" max="5641" width="21" customWidth="1"/>
    <col min="5642" max="5642" width="2.7109375" customWidth="1"/>
    <col min="5643" max="5643" width="0" hidden="1" customWidth="1"/>
    <col min="5889" max="5889" width="2.7109375" customWidth="1"/>
    <col min="5890" max="5890" width="7.140625" customWidth="1"/>
    <col min="5891" max="5891" width="64.28515625" customWidth="1"/>
    <col min="5892" max="5897" width="21" customWidth="1"/>
    <col min="5898" max="5898" width="2.7109375" customWidth="1"/>
    <col min="5899" max="5899" width="0" hidden="1" customWidth="1"/>
    <col min="6145" max="6145" width="2.7109375" customWidth="1"/>
    <col min="6146" max="6146" width="7.140625" customWidth="1"/>
    <col min="6147" max="6147" width="64.28515625" customWidth="1"/>
    <col min="6148" max="6153" width="21" customWidth="1"/>
    <col min="6154" max="6154" width="2.7109375" customWidth="1"/>
    <col min="6155" max="6155" width="0" hidden="1" customWidth="1"/>
    <col min="6401" max="6401" width="2.7109375" customWidth="1"/>
    <col min="6402" max="6402" width="7.140625" customWidth="1"/>
    <col min="6403" max="6403" width="64.28515625" customWidth="1"/>
    <col min="6404" max="6409" width="21" customWidth="1"/>
    <col min="6410" max="6410" width="2.7109375" customWidth="1"/>
    <col min="6411" max="6411" width="0" hidden="1" customWidth="1"/>
    <col min="6657" max="6657" width="2.7109375" customWidth="1"/>
    <col min="6658" max="6658" width="7.140625" customWidth="1"/>
    <col min="6659" max="6659" width="64.28515625" customWidth="1"/>
    <col min="6660" max="6665" width="21" customWidth="1"/>
    <col min="6666" max="6666" width="2.7109375" customWidth="1"/>
    <col min="6667" max="6667" width="0" hidden="1" customWidth="1"/>
    <col min="6913" max="6913" width="2.7109375" customWidth="1"/>
    <col min="6914" max="6914" width="7.140625" customWidth="1"/>
    <col min="6915" max="6915" width="64.28515625" customWidth="1"/>
    <col min="6916" max="6921" width="21" customWidth="1"/>
    <col min="6922" max="6922" width="2.7109375" customWidth="1"/>
    <col min="6923" max="6923" width="0" hidden="1" customWidth="1"/>
    <col min="7169" max="7169" width="2.7109375" customWidth="1"/>
    <col min="7170" max="7170" width="7.140625" customWidth="1"/>
    <col min="7171" max="7171" width="64.28515625" customWidth="1"/>
    <col min="7172" max="7177" width="21" customWidth="1"/>
    <col min="7178" max="7178" width="2.7109375" customWidth="1"/>
    <col min="7179" max="7179" width="0" hidden="1" customWidth="1"/>
    <col min="7425" max="7425" width="2.7109375" customWidth="1"/>
    <col min="7426" max="7426" width="7.140625" customWidth="1"/>
    <col min="7427" max="7427" width="64.28515625" customWidth="1"/>
    <col min="7428" max="7433" width="21" customWidth="1"/>
    <col min="7434" max="7434" width="2.7109375" customWidth="1"/>
    <col min="7435" max="7435" width="0" hidden="1" customWidth="1"/>
    <col min="7681" max="7681" width="2.7109375" customWidth="1"/>
    <col min="7682" max="7682" width="7.140625" customWidth="1"/>
    <col min="7683" max="7683" width="64.28515625" customWidth="1"/>
    <col min="7684" max="7689" width="21" customWidth="1"/>
    <col min="7690" max="7690" width="2.7109375" customWidth="1"/>
    <col min="7691" max="7691" width="0" hidden="1" customWidth="1"/>
    <col min="7937" max="7937" width="2.7109375" customWidth="1"/>
    <col min="7938" max="7938" width="7.140625" customWidth="1"/>
    <col min="7939" max="7939" width="64.28515625" customWidth="1"/>
    <col min="7940" max="7945" width="21" customWidth="1"/>
    <col min="7946" max="7946" width="2.7109375" customWidth="1"/>
    <col min="7947" max="7947" width="0" hidden="1" customWidth="1"/>
    <col min="8193" max="8193" width="2.7109375" customWidth="1"/>
    <col min="8194" max="8194" width="7.140625" customWidth="1"/>
    <col min="8195" max="8195" width="64.28515625" customWidth="1"/>
    <col min="8196" max="8201" width="21" customWidth="1"/>
    <col min="8202" max="8202" width="2.7109375" customWidth="1"/>
    <col min="8203" max="8203" width="0" hidden="1" customWidth="1"/>
    <col min="8449" max="8449" width="2.7109375" customWidth="1"/>
    <col min="8450" max="8450" width="7.140625" customWidth="1"/>
    <col min="8451" max="8451" width="64.28515625" customWidth="1"/>
    <col min="8452" max="8457" width="21" customWidth="1"/>
    <col min="8458" max="8458" width="2.7109375" customWidth="1"/>
    <col min="8459" max="8459" width="0" hidden="1" customWidth="1"/>
    <col min="8705" max="8705" width="2.7109375" customWidth="1"/>
    <col min="8706" max="8706" width="7.140625" customWidth="1"/>
    <col min="8707" max="8707" width="64.28515625" customWidth="1"/>
    <col min="8708" max="8713" width="21" customWidth="1"/>
    <col min="8714" max="8714" width="2.7109375" customWidth="1"/>
    <col min="8715" max="8715" width="0" hidden="1" customWidth="1"/>
    <col min="8961" max="8961" width="2.7109375" customWidth="1"/>
    <col min="8962" max="8962" width="7.140625" customWidth="1"/>
    <col min="8963" max="8963" width="64.28515625" customWidth="1"/>
    <col min="8964" max="8969" width="21" customWidth="1"/>
    <col min="8970" max="8970" width="2.7109375" customWidth="1"/>
    <col min="8971" max="8971" width="0" hidden="1" customWidth="1"/>
    <col min="9217" max="9217" width="2.7109375" customWidth="1"/>
    <col min="9218" max="9218" width="7.140625" customWidth="1"/>
    <col min="9219" max="9219" width="64.28515625" customWidth="1"/>
    <col min="9220" max="9225" width="21" customWidth="1"/>
    <col min="9226" max="9226" width="2.7109375" customWidth="1"/>
    <col min="9227" max="9227" width="0" hidden="1" customWidth="1"/>
    <col min="9473" max="9473" width="2.7109375" customWidth="1"/>
    <col min="9474" max="9474" width="7.140625" customWidth="1"/>
    <col min="9475" max="9475" width="64.28515625" customWidth="1"/>
    <col min="9476" max="9481" width="21" customWidth="1"/>
    <col min="9482" max="9482" width="2.7109375" customWidth="1"/>
    <col min="9483" max="9483" width="0" hidden="1" customWidth="1"/>
    <col min="9729" max="9729" width="2.7109375" customWidth="1"/>
    <col min="9730" max="9730" width="7.140625" customWidth="1"/>
    <col min="9731" max="9731" width="64.28515625" customWidth="1"/>
    <col min="9732" max="9737" width="21" customWidth="1"/>
    <col min="9738" max="9738" width="2.7109375" customWidth="1"/>
    <col min="9739" max="9739" width="0" hidden="1" customWidth="1"/>
    <col min="9985" max="9985" width="2.7109375" customWidth="1"/>
    <col min="9986" max="9986" width="7.140625" customWidth="1"/>
    <col min="9987" max="9987" width="64.28515625" customWidth="1"/>
    <col min="9988" max="9993" width="21" customWidth="1"/>
    <col min="9994" max="9994" width="2.7109375" customWidth="1"/>
    <col min="9995" max="9995" width="0" hidden="1" customWidth="1"/>
    <col min="10241" max="10241" width="2.7109375" customWidth="1"/>
    <col min="10242" max="10242" width="7.140625" customWidth="1"/>
    <col min="10243" max="10243" width="64.28515625" customWidth="1"/>
    <col min="10244" max="10249" width="21" customWidth="1"/>
    <col min="10250" max="10250" width="2.7109375" customWidth="1"/>
    <col min="10251" max="10251" width="0" hidden="1" customWidth="1"/>
    <col min="10497" max="10497" width="2.7109375" customWidth="1"/>
    <col min="10498" max="10498" width="7.140625" customWidth="1"/>
    <col min="10499" max="10499" width="64.28515625" customWidth="1"/>
    <col min="10500" max="10505" width="21" customWidth="1"/>
    <col min="10506" max="10506" width="2.7109375" customWidth="1"/>
    <col min="10507" max="10507" width="0" hidden="1" customWidth="1"/>
    <col min="10753" max="10753" width="2.7109375" customWidth="1"/>
    <col min="10754" max="10754" width="7.140625" customWidth="1"/>
    <col min="10755" max="10755" width="64.28515625" customWidth="1"/>
    <col min="10756" max="10761" width="21" customWidth="1"/>
    <col min="10762" max="10762" width="2.7109375" customWidth="1"/>
    <col min="10763" max="10763" width="0" hidden="1" customWidth="1"/>
    <col min="11009" max="11009" width="2.7109375" customWidth="1"/>
    <col min="11010" max="11010" width="7.140625" customWidth="1"/>
    <col min="11011" max="11011" width="64.28515625" customWidth="1"/>
    <col min="11012" max="11017" width="21" customWidth="1"/>
    <col min="11018" max="11018" width="2.7109375" customWidth="1"/>
    <col min="11019" max="11019" width="0" hidden="1" customWidth="1"/>
    <col min="11265" max="11265" width="2.7109375" customWidth="1"/>
    <col min="11266" max="11266" width="7.140625" customWidth="1"/>
    <col min="11267" max="11267" width="64.28515625" customWidth="1"/>
    <col min="11268" max="11273" width="21" customWidth="1"/>
    <col min="11274" max="11274" width="2.7109375" customWidth="1"/>
    <col min="11275" max="11275" width="0" hidden="1" customWidth="1"/>
    <col min="11521" max="11521" width="2.7109375" customWidth="1"/>
    <col min="11522" max="11522" width="7.140625" customWidth="1"/>
    <col min="11523" max="11523" width="64.28515625" customWidth="1"/>
    <col min="11524" max="11529" width="21" customWidth="1"/>
    <col min="11530" max="11530" width="2.7109375" customWidth="1"/>
    <col min="11531" max="11531" width="0" hidden="1" customWidth="1"/>
    <col min="11777" max="11777" width="2.7109375" customWidth="1"/>
    <col min="11778" max="11778" width="7.140625" customWidth="1"/>
    <col min="11779" max="11779" width="64.28515625" customWidth="1"/>
    <col min="11780" max="11785" width="21" customWidth="1"/>
    <col min="11786" max="11786" width="2.7109375" customWidth="1"/>
    <col min="11787" max="11787" width="0" hidden="1" customWidth="1"/>
    <col min="12033" max="12033" width="2.7109375" customWidth="1"/>
    <col min="12034" max="12034" width="7.140625" customWidth="1"/>
    <col min="12035" max="12035" width="64.28515625" customWidth="1"/>
    <col min="12036" max="12041" width="21" customWidth="1"/>
    <col min="12042" max="12042" width="2.7109375" customWidth="1"/>
    <col min="12043" max="12043" width="0" hidden="1" customWidth="1"/>
    <col min="12289" max="12289" width="2.7109375" customWidth="1"/>
    <col min="12290" max="12290" width="7.140625" customWidth="1"/>
    <col min="12291" max="12291" width="64.28515625" customWidth="1"/>
    <col min="12292" max="12297" width="21" customWidth="1"/>
    <col min="12298" max="12298" width="2.7109375" customWidth="1"/>
    <col min="12299" max="12299" width="0" hidden="1" customWidth="1"/>
    <col min="12545" max="12545" width="2.7109375" customWidth="1"/>
    <col min="12546" max="12546" width="7.140625" customWidth="1"/>
    <col min="12547" max="12547" width="64.28515625" customWidth="1"/>
    <col min="12548" max="12553" width="21" customWidth="1"/>
    <col min="12554" max="12554" width="2.7109375" customWidth="1"/>
    <col min="12555" max="12555" width="0" hidden="1" customWidth="1"/>
    <col min="12801" max="12801" width="2.7109375" customWidth="1"/>
    <col min="12802" max="12802" width="7.140625" customWidth="1"/>
    <col min="12803" max="12803" width="64.28515625" customWidth="1"/>
    <col min="12804" max="12809" width="21" customWidth="1"/>
    <col min="12810" max="12810" width="2.7109375" customWidth="1"/>
    <col min="12811" max="12811" width="0" hidden="1" customWidth="1"/>
    <col min="13057" max="13057" width="2.7109375" customWidth="1"/>
    <col min="13058" max="13058" width="7.140625" customWidth="1"/>
    <col min="13059" max="13059" width="64.28515625" customWidth="1"/>
    <col min="13060" max="13065" width="21" customWidth="1"/>
    <col min="13066" max="13066" width="2.7109375" customWidth="1"/>
    <col min="13067" max="13067" width="0" hidden="1" customWidth="1"/>
    <col min="13313" max="13313" width="2.7109375" customWidth="1"/>
    <col min="13314" max="13314" width="7.140625" customWidth="1"/>
    <col min="13315" max="13315" width="64.28515625" customWidth="1"/>
    <col min="13316" max="13321" width="21" customWidth="1"/>
    <col min="13322" max="13322" width="2.7109375" customWidth="1"/>
    <col min="13323" max="13323" width="0" hidden="1" customWidth="1"/>
    <col min="13569" max="13569" width="2.7109375" customWidth="1"/>
    <col min="13570" max="13570" width="7.140625" customWidth="1"/>
    <col min="13571" max="13571" width="64.28515625" customWidth="1"/>
    <col min="13572" max="13577" width="21" customWidth="1"/>
    <col min="13578" max="13578" width="2.7109375" customWidth="1"/>
    <col min="13579" max="13579" width="0" hidden="1" customWidth="1"/>
    <col min="13825" max="13825" width="2.7109375" customWidth="1"/>
    <col min="13826" max="13826" width="7.140625" customWidth="1"/>
    <col min="13827" max="13827" width="64.28515625" customWidth="1"/>
    <col min="13828" max="13833" width="21" customWidth="1"/>
    <col min="13834" max="13834" width="2.7109375" customWidth="1"/>
    <col min="13835" max="13835" width="0" hidden="1" customWidth="1"/>
    <col min="14081" max="14081" width="2.7109375" customWidth="1"/>
    <col min="14082" max="14082" width="7.140625" customWidth="1"/>
    <col min="14083" max="14083" width="64.28515625" customWidth="1"/>
    <col min="14084" max="14089" width="21" customWidth="1"/>
    <col min="14090" max="14090" width="2.7109375" customWidth="1"/>
    <col min="14091" max="14091" width="0" hidden="1" customWidth="1"/>
    <col min="14337" max="14337" width="2.7109375" customWidth="1"/>
    <col min="14338" max="14338" width="7.140625" customWidth="1"/>
    <col min="14339" max="14339" width="64.28515625" customWidth="1"/>
    <col min="14340" max="14345" width="21" customWidth="1"/>
    <col min="14346" max="14346" width="2.7109375" customWidth="1"/>
    <col min="14347" max="14347" width="0" hidden="1" customWidth="1"/>
    <col min="14593" max="14593" width="2.7109375" customWidth="1"/>
    <col min="14594" max="14594" width="7.140625" customWidth="1"/>
    <col min="14595" max="14595" width="64.28515625" customWidth="1"/>
    <col min="14596" max="14601" width="21" customWidth="1"/>
    <col min="14602" max="14602" width="2.7109375" customWidth="1"/>
    <col min="14603" max="14603" width="0" hidden="1" customWidth="1"/>
    <col min="14849" max="14849" width="2.7109375" customWidth="1"/>
    <col min="14850" max="14850" width="7.140625" customWidth="1"/>
    <col min="14851" max="14851" width="64.28515625" customWidth="1"/>
    <col min="14852" max="14857" width="21" customWidth="1"/>
    <col min="14858" max="14858" width="2.7109375" customWidth="1"/>
    <col min="14859" max="14859" width="0" hidden="1" customWidth="1"/>
    <col min="15105" max="15105" width="2.7109375" customWidth="1"/>
    <col min="15106" max="15106" width="7.140625" customWidth="1"/>
    <col min="15107" max="15107" width="64.28515625" customWidth="1"/>
    <col min="15108" max="15113" width="21" customWidth="1"/>
    <col min="15114" max="15114" width="2.7109375" customWidth="1"/>
    <col min="15115" max="15115" width="0" hidden="1" customWidth="1"/>
    <col min="15361" max="15361" width="2.7109375" customWidth="1"/>
    <col min="15362" max="15362" width="7.140625" customWidth="1"/>
    <col min="15363" max="15363" width="64.28515625" customWidth="1"/>
    <col min="15364" max="15369" width="21" customWidth="1"/>
    <col min="15370" max="15370" width="2.7109375" customWidth="1"/>
    <col min="15371" max="15371" width="0" hidden="1" customWidth="1"/>
    <col min="15617" max="15617" width="2.7109375" customWidth="1"/>
    <col min="15618" max="15618" width="7.140625" customWidth="1"/>
    <col min="15619" max="15619" width="64.28515625" customWidth="1"/>
    <col min="15620" max="15625" width="21" customWidth="1"/>
    <col min="15626" max="15626" width="2.7109375" customWidth="1"/>
    <col min="15627" max="15627" width="0" hidden="1" customWidth="1"/>
    <col min="15873" max="15873" width="2.7109375" customWidth="1"/>
    <col min="15874" max="15874" width="7.140625" customWidth="1"/>
    <col min="15875" max="15875" width="64.28515625" customWidth="1"/>
    <col min="15876" max="15881" width="21" customWidth="1"/>
    <col min="15882" max="15882" width="2.7109375" customWidth="1"/>
    <col min="15883" max="15883" width="0" hidden="1" customWidth="1"/>
    <col min="16129" max="16129" width="2.7109375" customWidth="1"/>
    <col min="16130" max="16130" width="7.140625" customWidth="1"/>
    <col min="16131" max="16131" width="64.28515625" customWidth="1"/>
    <col min="16132" max="16137" width="21" customWidth="1"/>
    <col min="16138" max="16138" width="2.7109375" customWidth="1"/>
    <col min="16139" max="16139" width="0" hidden="1" customWidth="1"/>
  </cols>
  <sheetData>
    <row r="3" spans="2:9">
      <c r="B3" s="604" t="s">
        <v>0</v>
      </c>
      <c r="C3" s="605"/>
      <c r="D3" s="605"/>
      <c r="E3" s="605"/>
      <c r="F3" s="605"/>
      <c r="G3" s="605"/>
      <c r="H3" s="605"/>
      <c r="I3" s="606"/>
    </row>
    <row r="4" spans="2:9">
      <c r="B4" s="607" t="s">
        <v>4</v>
      </c>
      <c r="C4" s="608"/>
      <c r="D4" s="608"/>
      <c r="E4" s="608"/>
      <c r="F4" s="608"/>
      <c r="G4" s="608"/>
      <c r="H4" s="608"/>
      <c r="I4" s="609"/>
    </row>
    <row r="5" spans="2:9">
      <c r="B5" s="610" t="s">
        <v>230</v>
      </c>
      <c r="C5" s="611"/>
      <c r="D5" s="611"/>
      <c r="E5" s="611"/>
      <c r="F5" s="611"/>
      <c r="G5" s="611"/>
      <c r="H5" s="611"/>
      <c r="I5" s="612"/>
    </row>
    <row r="6" spans="2:9">
      <c r="B6" s="610" t="s">
        <v>254</v>
      </c>
      <c r="C6" s="611"/>
      <c r="D6" s="611"/>
      <c r="E6" s="611"/>
      <c r="F6" s="611"/>
      <c r="G6" s="611"/>
      <c r="H6" s="611"/>
      <c r="I6" s="612"/>
    </row>
    <row r="7" spans="2:9">
      <c r="B7" s="613" t="s">
        <v>416</v>
      </c>
      <c r="C7" s="614"/>
      <c r="D7" s="614"/>
      <c r="E7" s="614"/>
      <c r="F7" s="614"/>
      <c r="G7" s="614"/>
      <c r="H7" s="614"/>
      <c r="I7" s="615"/>
    </row>
    <row r="8" spans="2:9">
      <c r="B8" s="234"/>
      <c r="C8" s="234"/>
      <c r="D8" s="234"/>
      <c r="E8" s="234"/>
      <c r="F8" s="234"/>
      <c r="G8" s="234"/>
      <c r="H8" s="234"/>
      <c r="I8" s="234"/>
    </row>
    <row r="9" spans="2:9">
      <c r="B9" s="620" t="s">
        <v>67</v>
      </c>
      <c r="C9" s="621"/>
      <c r="D9" s="616" t="s">
        <v>232</v>
      </c>
      <c r="E9" s="617"/>
      <c r="F9" s="617"/>
      <c r="G9" s="617"/>
      <c r="H9" s="618"/>
      <c r="I9" s="619" t="s">
        <v>233</v>
      </c>
    </row>
    <row r="10" spans="2:9" ht="24.75">
      <c r="B10" s="622"/>
      <c r="C10" s="623"/>
      <c r="D10" s="236" t="s">
        <v>234</v>
      </c>
      <c r="E10" s="237" t="s">
        <v>235</v>
      </c>
      <c r="F10" s="236" t="s">
        <v>206</v>
      </c>
      <c r="G10" s="236" t="s">
        <v>207</v>
      </c>
      <c r="H10" s="236" t="s">
        <v>236</v>
      </c>
      <c r="I10" s="619"/>
    </row>
    <row r="11" spans="2:9">
      <c r="B11" s="624"/>
      <c r="C11" s="625"/>
      <c r="D11" s="238">
        <v>1</v>
      </c>
      <c r="E11" s="238">
        <v>2</v>
      </c>
      <c r="F11" s="238" t="s">
        <v>237</v>
      </c>
      <c r="G11" s="238">
        <v>4</v>
      </c>
      <c r="H11" s="238">
        <v>5</v>
      </c>
      <c r="I11" s="238" t="s">
        <v>238</v>
      </c>
    </row>
    <row r="12" spans="2:9">
      <c r="B12" s="651" t="s">
        <v>150</v>
      </c>
      <c r="C12" s="652"/>
      <c r="D12" s="456">
        <f t="shared" ref="D12:I12" si="0">SUM(D13:D19)</f>
        <v>21280379</v>
      </c>
      <c r="E12" s="456">
        <f t="shared" si="0"/>
        <v>3833032</v>
      </c>
      <c r="F12" s="456">
        <f t="shared" si="0"/>
        <v>25113411</v>
      </c>
      <c r="G12" s="456">
        <f t="shared" si="0"/>
        <v>24259507</v>
      </c>
      <c r="H12" s="456">
        <f t="shared" si="0"/>
        <v>24150126</v>
      </c>
      <c r="I12" s="456">
        <f t="shared" si="0"/>
        <v>853904</v>
      </c>
    </row>
    <row r="13" spans="2:9">
      <c r="B13" s="297"/>
      <c r="C13" s="298" t="s">
        <v>255</v>
      </c>
      <c r="D13" s="457">
        <v>14461625</v>
      </c>
      <c r="E13" s="457">
        <v>595495</v>
      </c>
      <c r="F13" s="457">
        <f t="shared" ref="F13:F19" si="1">D13+E13</f>
        <v>15057120</v>
      </c>
      <c r="G13" s="457">
        <v>14844605</v>
      </c>
      <c r="H13" s="457">
        <v>14844605</v>
      </c>
      <c r="I13" s="457">
        <f t="shared" ref="I13:I19" si="2">F13-G13</f>
        <v>212515</v>
      </c>
    </row>
    <row r="14" spans="2:9">
      <c r="B14" s="297"/>
      <c r="C14" s="298" t="s">
        <v>256</v>
      </c>
      <c r="D14" s="457"/>
      <c r="E14" s="457"/>
      <c r="F14" s="457">
        <f t="shared" si="1"/>
        <v>0</v>
      </c>
      <c r="G14" s="457">
        <v>0</v>
      </c>
      <c r="H14" s="457">
        <v>0</v>
      </c>
      <c r="I14" s="457">
        <f t="shared" si="2"/>
        <v>0</v>
      </c>
    </row>
    <row r="15" spans="2:9">
      <c r="B15" s="297"/>
      <c r="C15" s="298" t="s">
        <v>257</v>
      </c>
      <c r="D15" s="457">
        <v>3755802</v>
      </c>
      <c r="E15" s="457">
        <v>230770</v>
      </c>
      <c r="F15" s="457">
        <f t="shared" si="1"/>
        <v>3986572</v>
      </c>
      <c r="G15" s="457">
        <v>3853207</v>
      </c>
      <c r="H15" s="457">
        <v>3845329</v>
      </c>
      <c r="I15" s="457">
        <f t="shared" si="2"/>
        <v>133365</v>
      </c>
    </row>
    <row r="16" spans="2:9">
      <c r="B16" s="297"/>
      <c r="C16" s="298" t="s">
        <v>258</v>
      </c>
      <c r="D16" s="457">
        <v>1800576</v>
      </c>
      <c r="E16" s="457">
        <v>1510939</v>
      </c>
      <c r="F16" s="457">
        <f t="shared" si="1"/>
        <v>3311515</v>
      </c>
      <c r="G16" s="457">
        <v>2999050</v>
      </c>
      <c r="H16" s="457">
        <v>2929092</v>
      </c>
      <c r="I16" s="457">
        <f t="shared" si="2"/>
        <v>312465</v>
      </c>
    </row>
    <row r="17" spans="2:9">
      <c r="B17" s="297"/>
      <c r="C17" s="298" t="s">
        <v>259</v>
      </c>
      <c r="D17" s="457">
        <v>199272</v>
      </c>
      <c r="E17" s="457">
        <v>417744</v>
      </c>
      <c r="F17" s="457">
        <f t="shared" si="1"/>
        <v>617016</v>
      </c>
      <c r="G17" s="457">
        <v>594691</v>
      </c>
      <c r="H17" s="457">
        <v>563146</v>
      </c>
      <c r="I17" s="457">
        <f t="shared" si="2"/>
        <v>22325</v>
      </c>
    </row>
    <row r="18" spans="2:9">
      <c r="B18" s="297"/>
      <c r="C18" s="298" t="s">
        <v>260</v>
      </c>
      <c r="D18" s="457"/>
      <c r="E18" s="457"/>
      <c r="F18" s="457">
        <f t="shared" si="1"/>
        <v>0</v>
      </c>
      <c r="G18" s="457">
        <v>0</v>
      </c>
      <c r="H18" s="457">
        <v>0</v>
      </c>
      <c r="I18" s="457">
        <f t="shared" si="2"/>
        <v>0</v>
      </c>
    </row>
    <row r="19" spans="2:9">
      <c r="B19" s="297"/>
      <c r="C19" s="298" t="s">
        <v>261</v>
      </c>
      <c r="D19" s="457">
        <v>1063104</v>
      </c>
      <c r="E19" s="457">
        <v>1078084</v>
      </c>
      <c r="F19" s="457">
        <f t="shared" si="1"/>
        <v>2141188</v>
      </c>
      <c r="G19" s="457">
        <v>1967954</v>
      </c>
      <c r="H19" s="457">
        <v>1967954</v>
      </c>
      <c r="I19" s="457">
        <f t="shared" si="2"/>
        <v>173234</v>
      </c>
    </row>
    <row r="20" spans="2:9">
      <c r="B20" s="651" t="s">
        <v>75</v>
      </c>
      <c r="C20" s="652"/>
      <c r="D20" s="456">
        <f t="shared" ref="D20:I20" si="3">SUM(D21:D29)</f>
        <v>1753381</v>
      </c>
      <c r="E20" s="456">
        <f t="shared" si="3"/>
        <v>165774</v>
      </c>
      <c r="F20" s="456">
        <f t="shared" si="3"/>
        <v>1919155</v>
      </c>
      <c r="G20" s="456">
        <f t="shared" si="3"/>
        <v>1282816</v>
      </c>
      <c r="H20" s="456">
        <f t="shared" si="3"/>
        <v>1127597</v>
      </c>
      <c r="I20" s="456">
        <f t="shared" si="3"/>
        <v>636339</v>
      </c>
    </row>
    <row r="21" spans="2:9">
      <c r="B21" s="297"/>
      <c r="C21" s="298" t="s">
        <v>262</v>
      </c>
      <c r="D21" s="457">
        <v>680129</v>
      </c>
      <c r="E21" s="457">
        <v>-55976</v>
      </c>
      <c r="F21" s="457">
        <f t="shared" ref="F21:F29" si="4">D21+E21</f>
        <v>624153</v>
      </c>
      <c r="G21" s="457">
        <v>469889</v>
      </c>
      <c r="H21" s="457">
        <v>314670</v>
      </c>
      <c r="I21" s="457">
        <f t="shared" ref="I21:I29" si="5">F21-G21</f>
        <v>154264</v>
      </c>
    </row>
    <row r="22" spans="2:9">
      <c r="B22" s="297"/>
      <c r="C22" s="298" t="s">
        <v>263</v>
      </c>
      <c r="D22" s="457">
        <v>232280</v>
      </c>
      <c r="E22" s="457">
        <v>-25650</v>
      </c>
      <c r="F22" s="457">
        <f t="shared" si="4"/>
        <v>206630</v>
      </c>
      <c r="G22" s="457">
        <v>92684</v>
      </c>
      <c r="H22" s="457">
        <v>92684</v>
      </c>
      <c r="I22" s="457">
        <f t="shared" si="5"/>
        <v>113946</v>
      </c>
    </row>
    <row r="23" spans="2:9">
      <c r="B23" s="297"/>
      <c r="C23" s="298" t="s">
        <v>264</v>
      </c>
      <c r="D23" s="457">
        <v>38556</v>
      </c>
      <c r="E23" s="457">
        <v>-16502</v>
      </c>
      <c r="F23" s="457">
        <f t="shared" si="4"/>
        <v>22054</v>
      </c>
      <c r="G23" s="457">
        <v>5069</v>
      </c>
      <c r="H23" s="457">
        <v>5069</v>
      </c>
      <c r="I23" s="457">
        <f t="shared" si="5"/>
        <v>16985</v>
      </c>
    </row>
    <row r="24" spans="2:9">
      <c r="B24" s="297"/>
      <c r="C24" s="298" t="s">
        <v>265</v>
      </c>
      <c r="D24" s="457">
        <v>333909</v>
      </c>
      <c r="E24" s="457">
        <v>73919</v>
      </c>
      <c r="F24" s="457">
        <f t="shared" si="4"/>
        <v>407828</v>
      </c>
      <c r="G24" s="457">
        <v>259295</v>
      </c>
      <c r="H24" s="457">
        <v>259295</v>
      </c>
      <c r="I24" s="457">
        <f t="shared" si="5"/>
        <v>148533</v>
      </c>
    </row>
    <row r="25" spans="2:9">
      <c r="B25" s="297"/>
      <c r="C25" s="298" t="s">
        <v>266</v>
      </c>
      <c r="D25" s="457">
        <v>69987</v>
      </c>
      <c r="E25" s="457">
        <v>-8345</v>
      </c>
      <c r="F25" s="457">
        <f t="shared" si="4"/>
        <v>61642</v>
      </c>
      <c r="G25" s="457">
        <v>32029</v>
      </c>
      <c r="H25" s="457">
        <v>32029</v>
      </c>
      <c r="I25" s="457">
        <f t="shared" si="5"/>
        <v>29613</v>
      </c>
    </row>
    <row r="26" spans="2:9">
      <c r="B26" s="297"/>
      <c r="C26" s="298" t="s">
        <v>267</v>
      </c>
      <c r="D26" s="457">
        <v>34745</v>
      </c>
      <c r="E26" s="457">
        <v>15000</v>
      </c>
      <c r="F26" s="457">
        <f t="shared" si="4"/>
        <v>49745</v>
      </c>
      <c r="G26" s="457">
        <v>30011</v>
      </c>
      <c r="H26" s="457">
        <v>30011</v>
      </c>
      <c r="I26" s="457">
        <f t="shared" si="5"/>
        <v>19734</v>
      </c>
    </row>
    <row r="27" spans="2:9">
      <c r="B27" s="297"/>
      <c r="C27" s="298" t="s">
        <v>268</v>
      </c>
      <c r="D27" s="457">
        <v>167154</v>
      </c>
      <c r="E27" s="457">
        <v>114878</v>
      </c>
      <c r="F27" s="457">
        <f t="shared" si="4"/>
        <v>282032</v>
      </c>
      <c r="G27" s="457">
        <v>223782</v>
      </c>
      <c r="H27" s="457">
        <v>223782</v>
      </c>
      <c r="I27" s="457">
        <f t="shared" si="5"/>
        <v>58250</v>
      </c>
    </row>
    <row r="28" spans="2:9">
      <c r="B28" s="297"/>
      <c r="C28" s="298" t="s">
        <v>269</v>
      </c>
      <c r="D28" s="457">
        <v>0</v>
      </c>
      <c r="E28" s="457">
        <v>0</v>
      </c>
      <c r="F28" s="457">
        <f t="shared" si="4"/>
        <v>0</v>
      </c>
      <c r="G28" s="457">
        <v>0</v>
      </c>
      <c r="H28" s="457">
        <v>0</v>
      </c>
      <c r="I28" s="457">
        <f t="shared" si="5"/>
        <v>0</v>
      </c>
    </row>
    <row r="29" spans="2:9">
      <c r="B29" s="297"/>
      <c r="C29" s="298" t="s">
        <v>270</v>
      </c>
      <c r="D29" s="457">
        <v>196621</v>
      </c>
      <c r="E29" s="457">
        <v>68450</v>
      </c>
      <c r="F29" s="457">
        <f t="shared" si="4"/>
        <v>265071</v>
      </c>
      <c r="G29" s="457">
        <v>170057</v>
      </c>
      <c r="H29" s="457">
        <v>170057</v>
      </c>
      <c r="I29" s="457">
        <f t="shared" si="5"/>
        <v>95014</v>
      </c>
    </row>
    <row r="30" spans="2:9">
      <c r="B30" s="651" t="s">
        <v>77</v>
      </c>
      <c r="C30" s="652"/>
      <c r="D30" s="456">
        <f t="shared" ref="D30:I30" si="6">SUM(D31:D39)</f>
        <v>3822999</v>
      </c>
      <c r="E30" s="456">
        <f t="shared" si="6"/>
        <v>1190951</v>
      </c>
      <c r="F30" s="456">
        <f t="shared" si="6"/>
        <v>5013950</v>
      </c>
      <c r="G30" s="456">
        <f t="shared" si="6"/>
        <v>3489427</v>
      </c>
      <c r="H30" s="456">
        <f t="shared" si="6"/>
        <v>3489427</v>
      </c>
      <c r="I30" s="456">
        <f t="shared" si="6"/>
        <v>1524523</v>
      </c>
    </row>
    <row r="31" spans="2:9">
      <c r="B31" s="297"/>
      <c r="C31" s="298" t="s">
        <v>271</v>
      </c>
      <c r="D31" s="457">
        <v>571938</v>
      </c>
      <c r="E31" s="457">
        <v>80000</v>
      </c>
      <c r="F31" s="457">
        <f t="shared" ref="F31:F39" si="7">D31+E31</f>
        <v>651938</v>
      </c>
      <c r="G31" s="457">
        <v>458697</v>
      </c>
      <c r="H31" s="457">
        <v>458697</v>
      </c>
      <c r="I31" s="457">
        <f t="shared" ref="I31:I39" si="8">F31-G31</f>
        <v>193241</v>
      </c>
    </row>
    <row r="32" spans="2:9">
      <c r="B32" s="297"/>
      <c r="C32" s="298" t="s">
        <v>272</v>
      </c>
      <c r="D32" s="457">
        <v>3045</v>
      </c>
      <c r="E32" s="457">
        <v>13478</v>
      </c>
      <c r="F32" s="457">
        <f t="shared" si="7"/>
        <v>16523</v>
      </c>
      <c r="G32" s="457">
        <v>0</v>
      </c>
      <c r="H32" s="457">
        <v>0</v>
      </c>
      <c r="I32" s="457">
        <f t="shared" si="8"/>
        <v>16523</v>
      </c>
    </row>
    <row r="33" spans="2:9">
      <c r="B33" s="297"/>
      <c r="C33" s="298" t="s">
        <v>273</v>
      </c>
      <c r="D33" s="457">
        <v>1593916</v>
      </c>
      <c r="E33" s="457">
        <v>-266902</v>
      </c>
      <c r="F33" s="457">
        <f t="shared" si="7"/>
        <v>1327014</v>
      </c>
      <c r="G33" s="457">
        <v>833993</v>
      </c>
      <c r="H33" s="457">
        <v>833993</v>
      </c>
      <c r="I33" s="457">
        <f t="shared" si="8"/>
        <v>493021</v>
      </c>
    </row>
    <row r="34" spans="2:9">
      <c r="B34" s="297"/>
      <c r="C34" s="298" t="s">
        <v>274</v>
      </c>
      <c r="D34" s="457">
        <v>236474</v>
      </c>
      <c r="E34" s="457">
        <v>58999</v>
      </c>
      <c r="F34" s="457">
        <f t="shared" si="7"/>
        <v>295473</v>
      </c>
      <c r="G34" s="457">
        <v>254882</v>
      </c>
      <c r="H34" s="457">
        <v>254882</v>
      </c>
      <c r="I34" s="457">
        <f t="shared" si="8"/>
        <v>40591</v>
      </c>
    </row>
    <row r="35" spans="2:9">
      <c r="B35" s="297"/>
      <c r="C35" s="298" t="s">
        <v>275</v>
      </c>
      <c r="D35" s="457">
        <v>432831</v>
      </c>
      <c r="E35" s="457">
        <v>812616</v>
      </c>
      <c r="F35" s="457">
        <f t="shared" si="7"/>
        <v>1245447</v>
      </c>
      <c r="G35" s="457">
        <v>881151</v>
      </c>
      <c r="H35" s="457">
        <v>881151</v>
      </c>
      <c r="I35" s="457">
        <f t="shared" si="8"/>
        <v>364296</v>
      </c>
    </row>
    <row r="36" spans="2:9">
      <c r="B36" s="297"/>
      <c r="C36" s="298" t="s">
        <v>276</v>
      </c>
      <c r="D36" s="457">
        <v>246481</v>
      </c>
      <c r="E36" s="457">
        <v>-47052</v>
      </c>
      <c r="F36" s="457">
        <f t="shared" si="7"/>
        <v>199429</v>
      </c>
      <c r="G36" s="457">
        <v>137480</v>
      </c>
      <c r="H36" s="457">
        <v>137480</v>
      </c>
      <c r="I36" s="457">
        <f t="shared" si="8"/>
        <v>61949</v>
      </c>
    </row>
    <row r="37" spans="2:9">
      <c r="B37" s="297"/>
      <c r="C37" s="298" t="s">
        <v>277</v>
      </c>
      <c r="D37" s="457">
        <v>405665</v>
      </c>
      <c r="E37" s="457">
        <v>517093</v>
      </c>
      <c r="F37" s="457">
        <f t="shared" si="7"/>
        <v>922758</v>
      </c>
      <c r="G37" s="457">
        <v>695132</v>
      </c>
      <c r="H37" s="457">
        <v>695132</v>
      </c>
      <c r="I37" s="457">
        <f t="shared" si="8"/>
        <v>227626</v>
      </c>
    </row>
    <row r="38" spans="2:9">
      <c r="B38" s="297"/>
      <c r="C38" s="298" t="s">
        <v>278</v>
      </c>
      <c r="D38" s="457">
        <v>228075</v>
      </c>
      <c r="E38" s="457">
        <v>-27281</v>
      </c>
      <c r="F38" s="457">
        <f t="shared" si="7"/>
        <v>200794</v>
      </c>
      <c r="G38" s="457">
        <v>151238</v>
      </c>
      <c r="H38" s="457">
        <v>151238</v>
      </c>
      <c r="I38" s="457">
        <f t="shared" si="8"/>
        <v>49556</v>
      </c>
    </row>
    <row r="39" spans="2:9">
      <c r="B39" s="297"/>
      <c r="C39" s="298" t="s">
        <v>279</v>
      </c>
      <c r="D39" s="457">
        <v>104574</v>
      </c>
      <c r="E39" s="457">
        <v>50000</v>
      </c>
      <c r="F39" s="457">
        <f t="shared" si="7"/>
        <v>154574</v>
      </c>
      <c r="G39" s="457">
        <v>76854</v>
      </c>
      <c r="H39" s="457">
        <v>76854</v>
      </c>
      <c r="I39" s="457">
        <f t="shared" si="8"/>
        <v>77720</v>
      </c>
    </row>
    <row r="40" spans="2:9">
      <c r="B40" s="651" t="s">
        <v>80</v>
      </c>
      <c r="C40" s="652"/>
      <c r="D40" s="456">
        <f t="shared" ref="D40:I40" si="9">SUM(D41:D49)</f>
        <v>832000</v>
      </c>
      <c r="E40" s="456">
        <f t="shared" si="9"/>
        <v>538128</v>
      </c>
      <c r="F40" s="456">
        <f t="shared" si="9"/>
        <v>1370128</v>
      </c>
      <c r="G40" s="456">
        <f t="shared" si="9"/>
        <v>924328</v>
      </c>
      <c r="H40" s="456">
        <f t="shared" si="9"/>
        <v>924328</v>
      </c>
      <c r="I40" s="456">
        <f t="shared" si="9"/>
        <v>445800</v>
      </c>
    </row>
    <row r="41" spans="2:9">
      <c r="B41" s="297"/>
      <c r="C41" s="298" t="s">
        <v>82</v>
      </c>
      <c r="D41" s="457"/>
      <c r="E41" s="457"/>
      <c r="F41" s="457">
        <f t="shared" ref="F41:F49" si="10">D41+E41</f>
        <v>0</v>
      </c>
      <c r="G41" s="457">
        <v>0</v>
      </c>
      <c r="H41" s="457">
        <v>0</v>
      </c>
      <c r="I41" s="457">
        <f t="shared" ref="I41:I49" si="11">F41-G41</f>
        <v>0</v>
      </c>
    </row>
    <row r="42" spans="2:9">
      <c r="B42" s="297"/>
      <c r="C42" s="298" t="s">
        <v>84</v>
      </c>
      <c r="D42" s="457"/>
      <c r="E42" s="457">
        <v>542127</v>
      </c>
      <c r="F42" s="457">
        <f t="shared" si="10"/>
        <v>542127</v>
      </c>
      <c r="G42" s="457">
        <v>446748</v>
      </c>
      <c r="H42" s="457">
        <v>446748</v>
      </c>
      <c r="I42" s="457">
        <f t="shared" si="11"/>
        <v>95379</v>
      </c>
    </row>
    <row r="43" spans="2:9">
      <c r="B43" s="297"/>
      <c r="C43" s="298" t="s">
        <v>86</v>
      </c>
      <c r="D43" s="457"/>
      <c r="E43" s="457">
        <v>0</v>
      </c>
      <c r="F43" s="457">
        <f t="shared" si="10"/>
        <v>0</v>
      </c>
      <c r="G43" s="457">
        <v>0</v>
      </c>
      <c r="H43" s="457">
        <v>0</v>
      </c>
      <c r="I43" s="457">
        <f t="shared" si="11"/>
        <v>0</v>
      </c>
    </row>
    <row r="44" spans="2:9">
      <c r="B44" s="297"/>
      <c r="C44" s="298" t="s">
        <v>87</v>
      </c>
      <c r="D44" s="457">
        <v>832000</v>
      </c>
      <c r="E44" s="457">
        <v>-3999</v>
      </c>
      <c r="F44" s="457">
        <f t="shared" si="10"/>
        <v>828001</v>
      </c>
      <c r="G44" s="457">
        <v>477580</v>
      </c>
      <c r="H44" s="457">
        <v>477580</v>
      </c>
      <c r="I44" s="457">
        <f t="shared" si="11"/>
        <v>350421</v>
      </c>
    </row>
    <row r="45" spans="2:9">
      <c r="B45" s="297"/>
      <c r="C45" s="298" t="s">
        <v>89</v>
      </c>
      <c r="D45" s="457"/>
      <c r="E45" s="457">
        <v>0</v>
      </c>
      <c r="F45" s="457">
        <f t="shared" si="10"/>
        <v>0</v>
      </c>
      <c r="G45" s="457">
        <v>0</v>
      </c>
      <c r="H45" s="457">
        <v>0</v>
      </c>
      <c r="I45" s="457">
        <f t="shared" si="11"/>
        <v>0</v>
      </c>
    </row>
    <row r="46" spans="2:9">
      <c r="B46" s="297"/>
      <c r="C46" s="298" t="s">
        <v>280</v>
      </c>
      <c r="D46" s="457"/>
      <c r="E46" s="457">
        <v>0</v>
      </c>
      <c r="F46" s="457">
        <f t="shared" si="10"/>
        <v>0</v>
      </c>
      <c r="G46" s="457">
        <v>0</v>
      </c>
      <c r="H46" s="457">
        <v>0</v>
      </c>
      <c r="I46" s="457">
        <f t="shared" si="11"/>
        <v>0</v>
      </c>
    </row>
    <row r="47" spans="2:9">
      <c r="B47" s="297"/>
      <c r="C47" s="298" t="s">
        <v>93</v>
      </c>
      <c r="D47" s="457"/>
      <c r="E47" s="457">
        <v>0</v>
      </c>
      <c r="F47" s="457">
        <f t="shared" si="10"/>
        <v>0</v>
      </c>
      <c r="G47" s="457">
        <v>0</v>
      </c>
      <c r="H47" s="457">
        <v>0</v>
      </c>
      <c r="I47" s="457">
        <f t="shared" si="11"/>
        <v>0</v>
      </c>
    </row>
    <row r="48" spans="2:9">
      <c r="B48" s="297"/>
      <c r="C48" s="298" t="s">
        <v>94</v>
      </c>
      <c r="D48" s="457"/>
      <c r="E48" s="457">
        <v>0</v>
      </c>
      <c r="F48" s="457">
        <f t="shared" si="10"/>
        <v>0</v>
      </c>
      <c r="G48" s="457">
        <v>0</v>
      </c>
      <c r="H48" s="457">
        <v>0</v>
      </c>
      <c r="I48" s="457">
        <f t="shared" si="11"/>
        <v>0</v>
      </c>
    </row>
    <row r="49" spans="2:9">
      <c r="B49" s="297"/>
      <c r="C49" s="298" t="s">
        <v>96</v>
      </c>
      <c r="D49" s="457"/>
      <c r="E49" s="457">
        <v>0</v>
      </c>
      <c r="F49" s="457">
        <f t="shared" si="10"/>
        <v>0</v>
      </c>
      <c r="G49" s="457">
        <v>0</v>
      </c>
      <c r="H49" s="457">
        <v>0</v>
      </c>
      <c r="I49" s="457">
        <f t="shared" si="11"/>
        <v>0</v>
      </c>
    </row>
    <row r="50" spans="2:9">
      <c r="B50" s="651" t="s">
        <v>281</v>
      </c>
      <c r="C50" s="652"/>
      <c r="D50" s="456">
        <f t="shared" ref="D50:I50" si="12">SUM(D51:D59)</f>
        <v>228781.57</v>
      </c>
      <c r="E50" s="456">
        <f t="shared" si="12"/>
        <v>14771259</v>
      </c>
      <c r="F50" s="456">
        <f t="shared" si="12"/>
        <v>14771259</v>
      </c>
      <c r="G50" s="456">
        <f t="shared" si="12"/>
        <v>607699</v>
      </c>
      <c r="H50" s="456">
        <f t="shared" si="12"/>
        <v>65015</v>
      </c>
      <c r="I50" s="456">
        <f t="shared" si="12"/>
        <v>14163560</v>
      </c>
    </row>
    <row r="51" spans="2:9">
      <c r="B51" s="297"/>
      <c r="C51" s="298" t="s">
        <v>282</v>
      </c>
      <c r="D51" s="458"/>
      <c r="E51" s="458">
        <v>245000</v>
      </c>
      <c r="F51" s="457">
        <f t="shared" ref="F51:F58" si="13">D51+E51</f>
        <v>245000</v>
      </c>
      <c r="G51" s="458">
        <v>217938</v>
      </c>
      <c r="H51" s="458">
        <v>41154</v>
      </c>
      <c r="I51" s="457">
        <v>27062</v>
      </c>
    </row>
    <row r="52" spans="2:9">
      <c r="B52" s="297"/>
      <c r="C52" s="298" t="s">
        <v>283</v>
      </c>
      <c r="D52" s="458"/>
      <c r="E52" s="458">
        <v>0</v>
      </c>
      <c r="F52" s="457">
        <f t="shared" si="13"/>
        <v>0</v>
      </c>
      <c r="G52" s="458">
        <v>0</v>
      </c>
      <c r="H52" s="458">
        <v>0</v>
      </c>
      <c r="I52" s="457">
        <v>0</v>
      </c>
    </row>
    <row r="53" spans="2:9">
      <c r="B53" s="297"/>
      <c r="C53" s="298" t="s">
        <v>284</v>
      </c>
      <c r="D53" s="458"/>
      <c r="E53" s="458">
        <v>0</v>
      </c>
      <c r="F53" s="457">
        <f t="shared" si="13"/>
        <v>0</v>
      </c>
      <c r="G53" s="458">
        <v>0</v>
      </c>
      <c r="H53" s="458">
        <v>0</v>
      </c>
      <c r="I53" s="457">
        <v>0</v>
      </c>
    </row>
    <row r="54" spans="2:9">
      <c r="B54" s="297"/>
      <c r="C54" s="298" t="s">
        <v>285</v>
      </c>
      <c r="D54" s="458"/>
      <c r="E54" s="458">
        <v>5571533</v>
      </c>
      <c r="F54" s="457">
        <f t="shared" si="13"/>
        <v>5571533</v>
      </c>
      <c r="G54" s="458">
        <v>365900</v>
      </c>
      <c r="H54" s="458">
        <v>0</v>
      </c>
      <c r="I54" s="457">
        <f t="shared" ref="I54:I59" si="14">F54-G54</f>
        <v>5205633</v>
      </c>
    </row>
    <row r="55" spans="2:9">
      <c r="B55" s="297"/>
      <c r="C55" s="298" t="s">
        <v>286</v>
      </c>
      <c r="D55" s="458"/>
      <c r="E55" s="458">
        <v>0</v>
      </c>
      <c r="F55" s="457">
        <f t="shared" si="13"/>
        <v>0</v>
      </c>
      <c r="G55" s="458">
        <v>0</v>
      </c>
      <c r="H55" s="458">
        <v>0</v>
      </c>
      <c r="I55" s="457">
        <f t="shared" si="14"/>
        <v>0</v>
      </c>
    </row>
    <row r="56" spans="2:9">
      <c r="B56" s="297"/>
      <c r="C56" s="298" t="s">
        <v>287</v>
      </c>
      <c r="D56" s="457">
        <v>38781.57</v>
      </c>
      <c r="E56" s="458">
        <v>4532726</v>
      </c>
      <c r="F56" s="457">
        <v>4532726</v>
      </c>
      <c r="G56" s="458">
        <v>0</v>
      </c>
      <c r="H56" s="458">
        <v>0</v>
      </c>
      <c r="I56" s="457">
        <f t="shared" si="14"/>
        <v>4532726</v>
      </c>
    </row>
    <row r="57" spans="2:9">
      <c r="B57" s="297"/>
      <c r="C57" s="298" t="s">
        <v>288</v>
      </c>
      <c r="D57" s="457"/>
      <c r="E57" s="458">
        <v>0</v>
      </c>
      <c r="F57" s="457">
        <f t="shared" si="13"/>
        <v>0</v>
      </c>
      <c r="G57" s="458">
        <v>0</v>
      </c>
      <c r="H57" s="458">
        <v>0</v>
      </c>
      <c r="I57" s="457">
        <f t="shared" si="14"/>
        <v>0</v>
      </c>
    </row>
    <row r="58" spans="2:9">
      <c r="B58" s="297"/>
      <c r="C58" s="298" t="s">
        <v>289</v>
      </c>
      <c r="D58" s="457"/>
      <c r="E58" s="458">
        <v>3442000</v>
      </c>
      <c r="F58" s="457">
        <f t="shared" si="13"/>
        <v>3442000</v>
      </c>
      <c r="G58" s="458">
        <v>0</v>
      </c>
      <c r="H58" s="458">
        <v>0</v>
      </c>
      <c r="I58" s="457">
        <f t="shared" si="14"/>
        <v>3442000</v>
      </c>
    </row>
    <row r="59" spans="2:9">
      <c r="B59" s="297"/>
      <c r="C59" s="298" t="s">
        <v>38</v>
      </c>
      <c r="D59" s="457">
        <v>190000</v>
      </c>
      <c r="E59" s="458">
        <v>980000</v>
      </c>
      <c r="F59" s="457">
        <v>980000</v>
      </c>
      <c r="G59" s="458">
        <v>23861</v>
      </c>
      <c r="H59" s="458">
        <v>23861</v>
      </c>
      <c r="I59" s="457">
        <f t="shared" si="14"/>
        <v>956139</v>
      </c>
    </row>
    <row r="60" spans="2:9">
      <c r="B60" s="651" t="s">
        <v>118</v>
      </c>
      <c r="C60" s="652"/>
      <c r="D60" s="456">
        <f t="shared" ref="D60:I60" si="15">SUM(D61:D63)</f>
        <v>0</v>
      </c>
      <c r="E60" s="456">
        <f t="shared" si="15"/>
        <v>0</v>
      </c>
      <c r="F60" s="456">
        <f t="shared" si="15"/>
        <v>0</v>
      </c>
      <c r="G60" s="456">
        <f t="shared" si="15"/>
        <v>0</v>
      </c>
      <c r="H60" s="456">
        <f t="shared" si="15"/>
        <v>0</v>
      </c>
      <c r="I60" s="456">
        <f t="shared" si="15"/>
        <v>0</v>
      </c>
    </row>
    <row r="61" spans="2:9">
      <c r="B61" s="297"/>
      <c r="C61" s="298" t="s">
        <v>290</v>
      </c>
      <c r="D61" s="458"/>
      <c r="E61" s="458"/>
      <c r="F61" s="457">
        <f>D61+E61</f>
        <v>0</v>
      </c>
      <c r="G61" s="458"/>
      <c r="H61" s="458"/>
      <c r="I61" s="457">
        <f>F61-G61</f>
        <v>0</v>
      </c>
    </row>
    <row r="62" spans="2:9">
      <c r="B62" s="297"/>
      <c r="C62" s="298" t="s">
        <v>291</v>
      </c>
      <c r="D62" s="458"/>
      <c r="E62" s="458"/>
      <c r="F62" s="457">
        <f>D62+E62</f>
        <v>0</v>
      </c>
      <c r="G62" s="458"/>
      <c r="H62" s="458"/>
      <c r="I62" s="457">
        <f>F62-G62</f>
        <v>0</v>
      </c>
    </row>
    <row r="63" spans="2:9">
      <c r="B63" s="297"/>
      <c r="C63" s="298" t="s">
        <v>292</v>
      </c>
      <c r="D63" s="458"/>
      <c r="E63" s="458"/>
      <c r="F63" s="457">
        <f>D63+E63</f>
        <v>0</v>
      </c>
      <c r="G63" s="458"/>
      <c r="H63" s="458"/>
      <c r="I63" s="457">
        <f>F63-G63</f>
        <v>0</v>
      </c>
    </row>
    <row r="64" spans="2:9">
      <c r="B64" s="651" t="s">
        <v>293</v>
      </c>
      <c r="C64" s="652"/>
      <c r="D64" s="456">
        <f t="shared" ref="D64:I64" si="16">SUM(D65:D71)</f>
        <v>0</v>
      </c>
      <c r="E64" s="456">
        <f t="shared" si="16"/>
        <v>0</v>
      </c>
      <c r="F64" s="456">
        <f t="shared" si="16"/>
        <v>0</v>
      </c>
      <c r="G64" s="456">
        <f t="shared" si="16"/>
        <v>0</v>
      </c>
      <c r="H64" s="456">
        <f t="shared" si="16"/>
        <v>0</v>
      </c>
      <c r="I64" s="456">
        <f t="shared" si="16"/>
        <v>0</v>
      </c>
    </row>
    <row r="65" spans="2:9">
      <c r="B65" s="297"/>
      <c r="C65" s="298" t="s">
        <v>294</v>
      </c>
      <c r="D65" s="458"/>
      <c r="E65" s="458"/>
      <c r="F65" s="457">
        <f t="shared" ref="F65:F71" si="17">D65+E65</f>
        <v>0</v>
      </c>
      <c r="G65" s="458"/>
      <c r="H65" s="458"/>
      <c r="I65" s="457">
        <f t="shared" ref="I65:I71" si="18">F65-G65</f>
        <v>0</v>
      </c>
    </row>
    <row r="66" spans="2:9">
      <c r="B66" s="297"/>
      <c r="C66" s="298" t="s">
        <v>295</v>
      </c>
      <c r="D66" s="458"/>
      <c r="E66" s="458"/>
      <c r="F66" s="457">
        <f t="shared" si="17"/>
        <v>0</v>
      </c>
      <c r="G66" s="458"/>
      <c r="H66" s="458"/>
      <c r="I66" s="457">
        <f t="shared" si="18"/>
        <v>0</v>
      </c>
    </row>
    <row r="67" spans="2:9">
      <c r="B67" s="297"/>
      <c r="C67" s="298" t="s">
        <v>296</v>
      </c>
      <c r="D67" s="458"/>
      <c r="E67" s="458"/>
      <c r="F67" s="457">
        <f t="shared" si="17"/>
        <v>0</v>
      </c>
      <c r="G67" s="458"/>
      <c r="H67" s="458"/>
      <c r="I67" s="457">
        <f t="shared" si="18"/>
        <v>0</v>
      </c>
    </row>
    <row r="68" spans="2:9">
      <c r="B68" s="297"/>
      <c r="C68" s="298" t="s">
        <v>297</v>
      </c>
      <c r="D68" s="458"/>
      <c r="E68" s="458"/>
      <c r="F68" s="457">
        <f t="shared" si="17"/>
        <v>0</v>
      </c>
      <c r="G68" s="458"/>
      <c r="H68" s="458"/>
      <c r="I68" s="457">
        <f t="shared" si="18"/>
        <v>0</v>
      </c>
    </row>
    <row r="69" spans="2:9">
      <c r="B69" s="297"/>
      <c r="C69" s="298" t="s">
        <v>298</v>
      </c>
      <c r="D69" s="458"/>
      <c r="E69" s="458"/>
      <c r="F69" s="457">
        <f t="shared" si="17"/>
        <v>0</v>
      </c>
      <c r="G69" s="458"/>
      <c r="H69" s="458"/>
      <c r="I69" s="457">
        <f t="shared" si="18"/>
        <v>0</v>
      </c>
    </row>
    <row r="70" spans="2:9">
      <c r="B70" s="297"/>
      <c r="C70" s="298" t="s">
        <v>299</v>
      </c>
      <c r="D70" s="458"/>
      <c r="E70" s="458"/>
      <c r="F70" s="457">
        <f t="shared" si="17"/>
        <v>0</v>
      </c>
      <c r="G70" s="458"/>
      <c r="H70" s="458"/>
      <c r="I70" s="457">
        <f t="shared" si="18"/>
        <v>0</v>
      </c>
    </row>
    <row r="71" spans="2:9">
      <c r="B71" s="297"/>
      <c r="C71" s="298" t="s">
        <v>300</v>
      </c>
      <c r="D71" s="458"/>
      <c r="E71" s="458"/>
      <c r="F71" s="457">
        <f t="shared" si="17"/>
        <v>0</v>
      </c>
      <c r="G71" s="458"/>
      <c r="H71" s="458"/>
      <c r="I71" s="457">
        <f t="shared" si="18"/>
        <v>0</v>
      </c>
    </row>
    <row r="72" spans="2:9">
      <c r="B72" s="651" t="s">
        <v>90</v>
      </c>
      <c r="C72" s="652"/>
      <c r="D72" s="456">
        <f t="shared" ref="D72:I72" si="19">SUM(D73:D75)</f>
        <v>0</v>
      </c>
      <c r="E72" s="456">
        <f t="shared" si="19"/>
        <v>0</v>
      </c>
      <c r="F72" s="456">
        <f t="shared" si="19"/>
        <v>0</v>
      </c>
      <c r="G72" s="456">
        <f t="shared" si="19"/>
        <v>0</v>
      </c>
      <c r="H72" s="456">
        <f t="shared" si="19"/>
        <v>0</v>
      </c>
      <c r="I72" s="456">
        <f t="shared" si="19"/>
        <v>0</v>
      </c>
    </row>
    <row r="73" spans="2:9">
      <c r="B73" s="297"/>
      <c r="C73" s="298" t="s">
        <v>100</v>
      </c>
      <c r="D73" s="458"/>
      <c r="E73" s="458"/>
      <c r="F73" s="457">
        <f>D73+E73</f>
        <v>0</v>
      </c>
      <c r="G73" s="458"/>
      <c r="H73" s="458"/>
      <c r="I73" s="457">
        <f>F73-G73</f>
        <v>0</v>
      </c>
    </row>
    <row r="74" spans="2:9">
      <c r="B74" s="297"/>
      <c r="C74" s="298" t="s">
        <v>51</v>
      </c>
      <c r="D74" s="458"/>
      <c r="E74" s="458"/>
      <c r="F74" s="457">
        <f>D74+E74</f>
        <v>0</v>
      </c>
      <c r="G74" s="458"/>
      <c r="H74" s="458"/>
      <c r="I74" s="457">
        <f>F74-G74</f>
        <v>0</v>
      </c>
    </row>
    <row r="75" spans="2:9">
      <c r="B75" s="297"/>
      <c r="C75" s="298" t="s">
        <v>103</v>
      </c>
      <c r="D75" s="458"/>
      <c r="E75" s="458"/>
      <c r="F75" s="457">
        <f>D75+E75</f>
        <v>0</v>
      </c>
      <c r="G75" s="458"/>
      <c r="H75" s="458"/>
      <c r="I75" s="457">
        <f>F75-G75</f>
        <v>0</v>
      </c>
    </row>
    <row r="76" spans="2:9">
      <c r="B76" s="651" t="s">
        <v>301</v>
      </c>
      <c r="C76" s="652"/>
      <c r="D76" s="456">
        <f t="shared" ref="D76:I76" si="20">SUM(D77:D83)</f>
        <v>0</v>
      </c>
      <c r="E76" s="456">
        <f t="shared" si="20"/>
        <v>0</v>
      </c>
      <c r="F76" s="456">
        <f t="shared" si="20"/>
        <v>0</v>
      </c>
      <c r="G76" s="456">
        <f t="shared" si="20"/>
        <v>0</v>
      </c>
      <c r="H76" s="456">
        <f t="shared" si="20"/>
        <v>0</v>
      </c>
      <c r="I76" s="456">
        <f t="shared" si="20"/>
        <v>0</v>
      </c>
    </row>
    <row r="77" spans="2:9">
      <c r="B77" s="297"/>
      <c r="C77" s="298" t="s">
        <v>302</v>
      </c>
      <c r="D77" s="458"/>
      <c r="E77" s="458"/>
      <c r="F77" s="457">
        <f t="shared" ref="F77:F83" si="21">D77+E77</f>
        <v>0</v>
      </c>
      <c r="G77" s="458"/>
      <c r="H77" s="458"/>
      <c r="I77" s="457">
        <f t="shared" ref="I77:I83" si="22">F77-G77</f>
        <v>0</v>
      </c>
    </row>
    <row r="78" spans="2:9">
      <c r="B78" s="297"/>
      <c r="C78" s="298" t="s">
        <v>106</v>
      </c>
      <c r="D78" s="458"/>
      <c r="E78" s="458"/>
      <c r="F78" s="457">
        <f t="shared" si="21"/>
        <v>0</v>
      </c>
      <c r="G78" s="458"/>
      <c r="H78" s="458"/>
      <c r="I78" s="457">
        <f t="shared" si="22"/>
        <v>0</v>
      </c>
    </row>
    <row r="79" spans="2:9">
      <c r="B79" s="297"/>
      <c r="C79" s="298" t="s">
        <v>107</v>
      </c>
      <c r="D79" s="458"/>
      <c r="E79" s="458"/>
      <c r="F79" s="457">
        <f t="shared" si="21"/>
        <v>0</v>
      </c>
      <c r="G79" s="458"/>
      <c r="H79" s="458"/>
      <c r="I79" s="457">
        <f t="shared" si="22"/>
        <v>0</v>
      </c>
    </row>
    <row r="80" spans="2:9">
      <c r="B80" s="297"/>
      <c r="C80" s="298" t="s">
        <v>108</v>
      </c>
      <c r="D80" s="458"/>
      <c r="E80" s="458"/>
      <c r="F80" s="457">
        <f t="shared" si="21"/>
        <v>0</v>
      </c>
      <c r="G80" s="458"/>
      <c r="H80" s="458"/>
      <c r="I80" s="457">
        <f t="shared" si="22"/>
        <v>0</v>
      </c>
    </row>
    <row r="81" spans="2:9">
      <c r="B81" s="297"/>
      <c r="C81" s="298" t="s">
        <v>109</v>
      </c>
      <c r="D81" s="458"/>
      <c r="E81" s="458"/>
      <c r="F81" s="457">
        <f t="shared" si="21"/>
        <v>0</v>
      </c>
      <c r="G81" s="458"/>
      <c r="H81" s="458"/>
      <c r="I81" s="457">
        <f t="shared" si="22"/>
        <v>0</v>
      </c>
    </row>
    <row r="82" spans="2:9">
      <c r="B82" s="297"/>
      <c r="C82" s="298" t="s">
        <v>110</v>
      </c>
      <c r="D82" s="458"/>
      <c r="E82" s="458"/>
      <c r="F82" s="457">
        <f t="shared" si="21"/>
        <v>0</v>
      </c>
      <c r="G82" s="458"/>
      <c r="H82" s="458"/>
      <c r="I82" s="457">
        <f t="shared" si="22"/>
        <v>0</v>
      </c>
    </row>
    <row r="83" spans="2:9">
      <c r="B83" s="297"/>
      <c r="C83" s="298" t="s">
        <v>303</v>
      </c>
      <c r="D83" s="459"/>
      <c r="E83" s="459"/>
      <c r="F83" s="460">
        <f t="shared" si="21"/>
        <v>0</v>
      </c>
      <c r="G83" s="459"/>
      <c r="H83" s="459"/>
      <c r="I83" s="460">
        <f t="shared" si="22"/>
        <v>0</v>
      </c>
    </row>
    <row r="84" spans="2:9" ht="24.75" customHeight="1">
      <c r="B84" s="299"/>
      <c r="C84" s="300" t="s">
        <v>248</v>
      </c>
      <c r="D84" s="460">
        <f>D12+D20+D30+D40+D50+D60+D64+D72+D76</f>
        <v>27917540.57</v>
      </c>
      <c r="E84" s="460">
        <f t="shared" ref="E84:I84" si="23">E12+E20+E30+E40+E50+E60+E64+E72+E76</f>
        <v>20499144</v>
      </c>
      <c r="F84" s="460">
        <f t="shared" si="23"/>
        <v>48187903</v>
      </c>
      <c r="G84" s="460">
        <f t="shared" si="23"/>
        <v>30563777</v>
      </c>
      <c r="H84" s="460">
        <f t="shared" si="23"/>
        <v>29756493</v>
      </c>
      <c r="I84" s="460">
        <f t="shared" si="23"/>
        <v>17624126</v>
      </c>
    </row>
    <row r="86" spans="2:9" hidden="1"/>
    <row r="87" spans="2:9" hidden="1"/>
    <row r="88" spans="2:9" hidden="1"/>
    <row r="89" spans="2:9" hidden="1"/>
    <row r="90" spans="2:9" hidden="1"/>
    <row r="91" spans="2:9" hidden="1"/>
    <row r="92" spans="2:9" hidden="1"/>
    <row r="93" spans="2:9" hidden="1"/>
    <row r="94" spans="2:9" hidden="1"/>
    <row r="95" spans="2:9" hidden="1"/>
    <row r="96" spans="2:9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mergeCells count="17">
    <mergeCell ref="B9:C11"/>
    <mergeCell ref="D9:H9"/>
    <mergeCell ref="I9:I10"/>
    <mergeCell ref="B3:I3"/>
    <mergeCell ref="B4:I4"/>
    <mergeCell ref="B5:I5"/>
    <mergeCell ref="B6:I6"/>
    <mergeCell ref="B7:I7"/>
    <mergeCell ref="B64:C64"/>
    <mergeCell ref="B72:C72"/>
    <mergeCell ref="B76:C76"/>
    <mergeCell ref="B12:C12"/>
    <mergeCell ref="B20:C20"/>
    <mergeCell ref="B30:C30"/>
    <mergeCell ref="B40:C40"/>
    <mergeCell ref="B50:C50"/>
    <mergeCell ref="B60:C60"/>
  </mergeCells>
  <pageMargins left="0.70866141732283472" right="0.70866141732283472" top="0.74803149606299213" bottom="0.74803149606299213" header="0.31496062992125984" footer="0.31496062992125984"/>
  <pageSetup scale="40" orientation="landscape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WVR65536"/>
  <sheetViews>
    <sheetView zoomScale="90" zoomScaleNormal="90" workbookViewId="0">
      <selection activeCell="I27" sqref="I27"/>
    </sheetView>
  </sheetViews>
  <sheetFormatPr baseColWidth="10" defaultColWidth="0" defaultRowHeight="14.25" customHeight="1" zeroHeight="1"/>
  <cols>
    <col min="1" max="1" width="2.7109375" style="301" customWidth="1"/>
    <col min="2" max="2" width="17.85546875" style="301" customWidth="1"/>
    <col min="3" max="3" width="61" style="301" customWidth="1"/>
    <col min="4" max="9" width="18" style="301" customWidth="1"/>
    <col min="10" max="10" width="2.7109375" style="301" customWidth="1"/>
    <col min="11" max="256" width="11.42578125" style="301" hidden="1"/>
    <col min="257" max="257" width="2.7109375" style="301" customWidth="1"/>
    <col min="258" max="258" width="17.85546875" style="301" customWidth="1"/>
    <col min="259" max="259" width="61" style="301" customWidth="1"/>
    <col min="260" max="265" width="18" style="301" customWidth="1"/>
    <col min="266" max="266" width="2.7109375" style="301" customWidth="1"/>
    <col min="267" max="512" width="11.42578125" style="301" hidden="1"/>
    <col min="513" max="513" width="2.7109375" style="301" customWidth="1"/>
    <col min="514" max="514" width="17.85546875" style="301" customWidth="1"/>
    <col min="515" max="515" width="61" style="301" customWidth="1"/>
    <col min="516" max="521" width="18" style="301" customWidth="1"/>
    <col min="522" max="522" width="2.7109375" style="301" customWidth="1"/>
    <col min="523" max="768" width="11.42578125" style="301" hidden="1"/>
    <col min="769" max="769" width="2.7109375" style="301" customWidth="1"/>
    <col min="770" max="770" width="17.85546875" style="301" customWidth="1"/>
    <col min="771" max="771" width="61" style="301" customWidth="1"/>
    <col min="772" max="777" width="18" style="301" customWidth="1"/>
    <col min="778" max="778" width="2.7109375" style="301" customWidth="1"/>
    <col min="779" max="1024" width="11.42578125" style="301" hidden="1"/>
    <col min="1025" max="1025" width="2.7109375" style="301" customWidth="1"/>
    <col min="1026" max="1026" width="17.85546875" style="301" customWidth="1"/>
    <col min="1027" max="1027" width="61" style="301" customWidth="1"/>
    <col min="1028" max="1033" width="18" style="301" customWidth="1"/>
    <col min="1034" max="1034" width="2.7109375" style="301" customWidth="1"/>
    <col min="1035" max="1280" width="11.42578125" style="301" hidden="1"/>
    <col min="1281" max="1281" width="2.7109375" style="301" customWidth="1"/>
    <col min="1282" max="1282" width="17.85546875" style="301" customWidth="1"/>
    <col min="1283" max="1283" width="61" style="301" customWidth="1"/>
    <col min="1284" max="1289" width="18" style="301" customWidth="1"/>
    <col min="1290" max="1290" width="2.7109375" style="301" customWidth="1"/>
    <col min="1291" max="1536" width="11.42578125" style="301" hidden="1"/>
    <col min="1537" max="1537" width="2.7109375" style="301" customWidth="1"/>
    <col min="1538" max="1538" width="17.85546875" style="301" customWidth="1"/>
    <col min="1539" max="1539" width="61" style="301" customWidth="1"/>
    <col min="1540" max="1545" width="18" style="301" customWidth="1"/>
    <col min="1546" max="1546" width="2.7109375" style="301" customWidth="1"/>
    <col min="1547" max="1792" width="11.42578125" style="301" hidden="1"/>
    <col min="1793" max="1793" width="2.7109375" style="301" customWidth="1"/>
    <col min="1794" max="1794" width="17.85546875" style="301" customWidth="1"/>
    <col min="1795" max="1795" width="61" style="301" customWidth="1"/>
    <col min="1796" max="1801" width="18" style="301" customWidth="1"/>
    <col min="1802" max="1802" width="2.7109375" style="301" customWidth="1"/>
    <col min="1803" max="2048" width="11.42578125" style="301" hidden="1"/>
    <col min="2049" max="2049" width="2.7109375" style="301" customWidth="1"/>
    <col min="2050" max="2050" width="17.85546875" style="301" customWidth="1"/>
    <col min="2051" max="2051" width="61" style="301" customWidth="1"/>
    <col min="2052" max="2057" width="18" style="301" customWidth="1"/>
    <col min="2058" max="2058" width="2.7109375" style="301" customWidth="1"/>
    <col min="2059" max="2304" width="11.42578125" style="301" hidden="1"/>
    <col min="2305" max="2305" width="2.7109375" style="301" customWidth="1"/>
    <col min="2306" max="2306" width="17.85546875" style="301" customWidth="1"/>
    <col min="2307" max="2307" width="61" style="301" customWidth="1"/>
    <col min="2308" max="2313" width="18" style="301" customWidth="1"/>
    <col min="2314" max="2314" width="2.7109375" style="301" customWidth="1"/>
    <col min="2315" max="2560" width="11.42578125" style="301" hidden="1"/>
    <col min="2561" max="2561" width="2.7109375" style="301" customWidth="1"/>
    <col min="2562" max="2562" width="17.85546875" style="301" customWidth="1"/>
    <col min="2563" max="2563" width="61" style="301" customWidth="1"/>
    <col min="2564" max="2569" width="18" style="301" customWidth="1"/>
    <col min="2570" max="2570" width="2.7109375" style="301" customWidth="1"/>
    <col min="2571" max="2816" width="11.42578125" style="301" hidden="1"/>
    <col min="2817" max="2817" width="2.7109375" style="301" customWidth="1"/>
    <col min="2818" max="2818" width="17.85546875" style="301" customWidth="1"/>
    <col min="2819" max="2819" width="61" style="301" customWidth="1"/>
    <col min="2820" max="2825" width="18" style="301" customWidth="1"/>
    <col min="2826" max="2826" width="2.7109375" style="301" customWidth="1"/>
    <col min="2827" max="3072" width="11.42578125" style="301" hidden="1"/>
    <col min="3073" max="3073" width="2.7109375" style="301" customWidth="1"/>
    <col min="3074" max="3074" width="17.85546875" style="301" customWidth="1"/>
    <col min="3075" max="3075" width="61" style="301" customWidth="1"/>
    <col min="3076" max="3081" width="18" style="301" customWidth="1"/>
    <col min="3082" max="3082" width="2.7109375" style="301" customWidth="1"/>
    <col min="3083" max="3328" width="11.42578125" style="301" hidden="1"/>
    <col min="3329" max="3329" width="2.7109375" style="301" customWidth="1"/>
    <col min="3330" max="3330" width="17.85546875" style="301" customWidth="1"/>
    <col min="3331" max="3331" width="61" style="301" customWidth="1"/>
    <col min="3332" max="3337" width="18" style="301" customWidth="1"/>
    <col min="3338" max="3338" width="2.7109375" style="301" customWidth="1"/>
    <col min="3339" max="3584" width="11.42578125" style="301" hidden="1"/>
    <col min="3585" max="3585" width="2.7109375" style="301" customWidth="1"/>
    <col min="3586" max="3586" width="17.85546875" style="301" customWidth="1"/>
    <col min="3587" max="3587" width="61" style="301" customWidth="1"/>
    <col min="3588" max="3593" width="18" style="301" customWidth="1"/>
    <col min="3594" max="3594" width="2.7109375" style="301" customWidth="1"/>
    <col min="3595" max="3840" width="11.42578125" style="301" hidden="1"/>
    <col min="3841" max="3841" width="2.7109375" style="301" customWidth="1"/>
    <col min="3842" max="3842" width="17.85546875" style="301" customWidth="1"/>
    <col min="3843" max="3843" width="61" style="301" customWidth="1"/>
    <col min="3844" max="3849" width="18" style="301" customWidth="1"/>
    <col min="3850" max="3850" width="2.7109375" style="301" customWidth="1"/>
    <col min="3851" max="4096" width="11.42578125" style="301" hidden="1"/>
    <col min="4097" max="4097" width="2.7109375" style="301" customWidth="1"/>
    <col min="4098" max="4098" width="17.85546875" style="301" customWidth="1"/>
    <col min="4099" max="4099" width="61" style="301" customWidth="1"/>
    <col min="4100" max="4105" width="18" style="301" customWidth="1"/>
    <col min="4106" max="4106" width="2.7109375" style="301" customWidth="1"/>
    <col min="4107" max="4352" width="11.42578125" style="301" hidden="1"/>
    <col min="4353" max="4353" width="2.7109375" style="301" customWidth="1"/>
    <col min="4354" max="4354" width="17.85546875" style="301" customWidth="1"/>
    <col min="4355" max="4355" width="61" style="301" customWidth="1"/>
    <col min="4356" max="4361" width="18" style="301" customWidth="1"/>
    <col min="4362" max="4362" width="2.7109375" style="301" customWidth="1"/>
    <col min="4363" max="4608" width="11.42578125" style="301" hidden="1"/>
    <col min="4609" max="4609" width="2.7109375" style="301" customWidth="1"/>
    <col min="4610" max="4610" width="17.85546875" style="301" customWidth="1"/>
    <col min="4611" max="4611" width="61" style="301" customWidth="1"/>
    <col min="4612" max="4617" width="18" style="301" customWidth="1"/>
    <col min="4618" max="4618" width="2.7109375" style="301" customWidth="1"/>
    <col min="4619" max="4864" width="11.42578125" style="301" hidden="1"/>
    <col min="4865" max="4865" width="2.7109375" style="301" customWidth="1"/>
    <col min="4866" max="4866" width="17.85546875" style="301" customWidth="1"/>
    <col min="4867" max="4867" width="61" style="301" customWidth="1"/>
    <col min="4868" max="4873" width="18" style="301" customWidth="1"/>
    <col min="4874" max="4874" width="2.7109375" style="301" customWidth="1"/>
    <col min="4875" max="5120" width="11.42578125" style="301" hidden="1"/>
    <col min="5121" max="5121" width="2.7109375" style="301" customWidth="1"/>
    <col min="5122" max="5122" width="17.85546875" style="301" customWidth="1"/>
    <col min="5123" max="5123" width="61" style="301" customWidth="1"/>
    <col min="5124" max="5129" width="18" style="301" customWidth="1"/>
    <col min="5130" max="5130" width="2.7109375" style="301" customWidth="1"/>
    <col min="5131" max="5376" width="11.42578125" style="301" hidden="1"/>
    <col min="5377" max="5377" width="2.7109375" style="301" customWidth="1"/>
    <col min="5378" max="5378" width="17.85546875" style="301" customWidth="1"/>
    <col min="5379" max="5379" width="61" style="301" customWidth="1"/>
    <col min="5380" max="5385" width="18" style="301" customWidth="1"/>
    <col min="5386" max="5386" width="2.7109375" style="301" customWidth="1"/>
    <col min="5387" max="5632" width="11.42578125" style="301" hidden="1"/>
    <col min="5633" max="5633" width="2.7109375" style="301" customWidth="1"/>
    <col min="5634" max="5634" width="17.85546875" style="301" customWidth="1"/>
    <col min="5635" max="5635" width="61" style="301" customWidth="1"/>
    <col min="5636" max="5641" width="18" style="301" customWidth="1"/>
    <col min="5642" max="5642" width="2.7109375" style="301" customWidth="1"/>
    <col min="5643" max="5888" width="11.42578125" style="301" hidden="1"/>
    <col min="5889" max="5889" width="2.7109375" style="301" customWidth="1"/>
    <col min="5890" max="5890" width="17.85546875" style="301" customWidth="1"/>
    <col min="5891" max="5891" width="61" style="301" customWidth="1"/>
    <col min="5892" max="5897" width="18" style="301" customWidth="1"/>
    <col min="5898" max="5898" width="2.7109375" style="301" customWidth="1"/>
    <col min="5899" max="6144" width="11.42578125" style="301" hidden="1"/>
    <col min="6145" max="6145" width="2.7109375" style="301" customWidth="1"/>
    <col min="6146" max="6146" width="17.85546875" style="301" customWidth="1"/>
    <col min="6147" max="6147" width="61" style="301" customWidth="1"/>
    <col min="6148" max="6153" width="18" style="301" customWidth="1"/>
    <col min="6154" max="6154" width="2.7109375" style="301" customWidth="1"/>
    <col min="6155" max="6400" width="11.42578125" style="301" hidden="1"/>
    <col min="6401" max="6401" width="2.7109375" style="301" customWidth="1"/>
    <col min="6402" max="6402" width="17.85546875" style="301" customWidth="1"/>
    <col min="6403" max="6403" width="61" style="301" customWidth="1"/>
    <col min="6404" max="6409" width="18" style="301" customWidth="1"/>
    <col min="6410" max="6410" width="2.7109375" style="301" customWidth="1"/>
    <col min="6411" max="6656" width="11.42578125" style="301" hidden="1"/>
    <col min="6657" max="6657" width="2.7109375" style="301" customWidth="1"/>
    <col min="6658" max="6658" width="17.85546875" style="301" customWidth="1"/>
    <col min="6659" max="6659" width="61" style="301" customWidth="1"/>
    <col min="6660" max="6665" width="18" style="301" customWidth="1"/>
    <col min="6666" max="6666" width="2.7109375" style="301" customWidth="1"/>
    <col min="6667" max="6912" width="11.42578125" style="301" hidden="1"/>
    <col min="6913" max="6913" width="2.7109375" style="301" customWidth="1"/>
    <col min="6914" max="6914" width="17.85546875" style="301" customWidth="1"/>
    <col min="6915" max="6915" width="61" style="301" customWidth="1"/>
    <col min="6916" max="6921" width="18" style="301" customWidth="1"/>
    <col min="6922" max="6922" width="2.7109375" style="301" customWidth="1"/>
    <col min="6923" max="7168" width="11.42578125" style="301" hidden="1"/>
    <col min="7169" max="7169" width="2.7109375" style="301" customWidth="1"/>
    <col min="7170" max="7170" width="17.85546875" style="301" customWidth="1"/>
    <col min="7171" max="7171" width="61" style="301" customWidth="1"/>
    <col min="7172" max="7177" width="18" style="301" customWidth="1"/>
    <col min="7178" max="7178" width="2.7109375" style="301" customWidth="1"/>
    <col min="7179" max="7424" width="11.42578125" style="301" hidden="1"/>
    <col min="7425" max="7425" width="2.7109375" style="301" customWidth="1"/>
    <col min="7426" max="7426" width="17.85546875" style="301" customWidth="1"/>
    <col min="7427" max="7427" width="61" style="301" customWidth="1"/>
    <col min="7428" max="7433" width="18" style="301" customWidth="1"/>
    <col min="7434" max="7434" width="2.7109375" style="301" customWidth="1"/>
    <col min="7435" max="7680" width="11.42578125" style="301" hidden="1"/>
    <col min="7681" max="7681" width="2.7109375" style="301" customWidth="1"/>
    <col min="7682" max="7682" width="17.85546875" style="301" customWidth="1"/>
    <col min="7683" max="7683" width="61" style="301" customWidth="1"/>
    <col min="7684" max="7689" width="18" style="301" customWidth="1"/>
    <col min="7690" max="7690" width="2.7109375" style="301" customWidth="1"/>
    <col min="7691" max="7936" width="11.42578125" style="301" hidden="1"/>
    <col min="7937" max="7937" width="2.7109375" style="301" customWidth="1"/>
    <col min="7938" max="7938" width="17.85546875" style="301" customWidth="1"/>
    <col min="7939" max="7939" width="61" style="301" customWidth="1"/>
    <col min="7940" max="7945" width="18" style="301" customWidth="1"/>
    <col min="7946" max="7946" width="2.7109375" style="301" customWidth="1"/>
    <col min="7947" max="8192" width="11.42578125" style="301" hidden="1"/>
    <col min="8193" max="8193" width="2.7109375" style="301" customWidth="1"/>
    <col min="8194" max="8194" width="17.85546875" style="301" customWidth="1"/>
    <col min="8195" max="8195" width="61" style="301" customWidth="1"/>
    <col min="8196" max="8201" width="18" style="301" customWidth="1"/>
    <col min="8202" max="8202" width="2.7109375" style="301" customWidth="1"/>
    <col min="8203" max="8448" width="11.42578125" style="301" hidden="1"/>
    <col min="8449" max="8449" width="2.7109375" style="301" customWidth="1"/>
    <col min="8450" max="8450" width="17.85546875" style="301" customWidth="1"/>
    <col min="8451" max="8451" width="61" style="301" customWidth="1"/>
    <col min="8452" max="8457" width="18" style="301" customWidth="1"/>
    <col min="8458" max="8458" width="2.7109375" style="301" customWidth="1"/>
    <col min="8459" max="8704" width="11.42578125" style="301" hidden="1"/>
    <col min="8705" max="8705" width="2.7109375" style="301" customWidth="1"/>
    <col min="8706" max="8706" width="17.85546875" style="301" customWidth="1"/>
    <col min="8707" max="8707" width="61" style="301" customWidth="1"/>
    <col min="8708" max="8713" width="18" style="301" customWidth="1"/>
    <col min="8714" max="8714" width="2.7109375" style="301" customWidth="1"/>
    <col min="8715" max="8960" width="11.42578125" style="301" hidden="1"/>
    <col min="8961" max="8961" width="2.7109375" style="301" customWidth="1"/>
    <col min="8962" max="8962" width="17.85546875" style="301" customWidth="1"/>
    <col min="8963" max="8963" width="61" style="301" customWidth="1"/>
    <col min="8964" max="8969" width="18" style="301" customWidth="1"/>
    <col min="8970" max="8970" width="2.7109375" style="301" customWidth="1"/>
    <col min="8971" max="9216" width="11.42578125" style="301" hidden="1"/>
    <col min="9217" max="9217" width="2.7109375" style="301" customWidth="1"/>
    <col min="9218" max="9218" width="17.85546875" style="301" customWidth="1"/>
    <col min="9219" max="9219" width="61" style="301" customWidth="1"/>
    <col min="9220" max="9225" width="18" style="301" customWidth="1"/>
    <col min="9226" max="9226" width="2.7109375" style="301" customWidth="1"/>
    <col min="9227" max="9472" width="11.42578125" style="301" hidden="1"/>
    <col min="9473" max="9473" width="2.7109375" style="301" customWidth="1"/>
    <col min="9474" max="9474" width="17.85546875" style="301" customWidth="1"/>
    <col min="9475" max="9475" width="61" style="301" customWidth="1"/>
    <col min="9476" max="9481" width="18" style="301" customWidth="1"/>
    <col min="9482" max="9482" width="2.7109375" style="301" customWidth="1"/>
    <col min="9483" max="9728" width="11.42578125" style="301" hidden="1"/>
    <col min="9729" max="9729" width="2.7109375" style="301" customWidth="1"/>
    <col min="9730" max="9730" width="17.85546875" style="301" customWidth="1"/>
    <col min="9731" max="9731" width="61" style="301" customWidth="1"/>
    <col min="9732" max="9737" width="18" style="301" customWidth="1"/>
    <col min="9738" max="9738" width="2.7109375" style="301" customWidth="1"/>
    <col min="9739" max="9984" width="11.42578125" style="301" hidden="1"/>
    <col min="9985" max="9985" width="2.7109375" style="301" customWidth="1"/>
    <col min="9986" max="9986" width="17.85546875" style="301" customWidth="1"/>
    <col min="9987" max="9987" width="61" style="301" customWidth="1"/>
    <col min="9988" max="9993" width="18" style="301" customWidth="1"/>
    <col min="9994" max="9994" width="2.7109375" style="301" customWidth="1"/>
    <col min="9995" max="10240" width="11.42578125" style="301" hidden="1"/>
    <col min="10241" max="10241" width="2.7109375" style="301" customWidth="1"/>
    <col min="10242" max="10242" width="17.85546875" style="301" customWidth="1"/>
    <col min="10243" max="10243" width="61" style="301" customWidth="1"/>
    <col min="10244" max="10249" width="18" style="301" customWidth="1"/>
    <col min="10250" max="10250" width="2.7109375" style="301" customWidth="1"/>
    <col min="10251" max="10496" width="11.42578125" style="301" hidden="1"/>
    <col min="10497" max="10497" width="2.7109375" style="301" customWidth="1"/>
    <col min="10498" max="10498" width="17.85546875" style="301" customWidth="1"/>
    <col min="10499" max="10499" width="61" style="301" customWidth="1"/>
    <col min="10500" max="10505" width="18" style="301" customWidth="1"/>
    <col min="10506" max="10506" width="2.7109375" style="301" customWidth="1"/>
    <col min="10507" max="10752" width="11.42578125" style="301" hidden="1"/>
    <col min="10753" max="10753" width="2.7109375" style="301" customWidth="1"/>
    <col min="10754" max="10754" width="17.85546875" style="301" customWidth="1"/>
    <col min="10755" max="10755" width="61" style="301" customWidth="1"/>
    <col min="10756" max="10761" width="18" style="301" customWidth="1"/>
    <col min="10762" max="10762" width="2.7109375" style="301" customWidth="1"/>
    <col min="10763" max="11008" width="11.42578125" style="301" hidden="1"/>
    <col min="11009" max="11009" width="2.7109375" style="301" customWidth="1"/>
    <col min="11010" max="11010" width="17.85546875" style="301" customWidth="1"/>
    <col min="11011" max="11011" width="61" style="301" customWidth="1"/>
    <col min="11012" max="11017" width="18" style="301" customWidth="1"/>
    <col min="11018" max="11018" width="2.7109375" style="301" customWidth="1"/>
    <col min="11019" max="11264" width="11.42578125" style="301" hidden="1"/>
    <col min="11265" max="11265" width="2.7109375" style="301" customWidth="1"/>
    <col min="11266" max="11266" width="17.85546875" style="301" customWidth="1"/>
    <col min="11267" max="11267" width="61" style="301" customWidth="1"/>
    <col min="11268" max="11273" width="18" style="301" customWidth="1"/>
    <col min="11274" max="11274" width="2.7109375" style="301" customWidth="1"/>
    <col min="11275" max="11520" width="11.42578125" style="301" hidden="1"/>
    <col min="11521" max="11521" width="2.7109375" style="301" customWidth="1"/>
    <col min="11522" max="11522" width="17.85546875" style="301" customWidth="1"/>
    <col min="11523" max="11523" width="61" style="301" customWidth="1"/>
    <col min="11524" max="11529" width="18" style="301" customWidth="1"/>
    <col min="11530" max="11530" width="2.7109375" style="301" customWidth="1"/>
    <col min="11531" max="11776" width="11.42578125" style="301" hidden="1"/>
    <col min="11777" max="11777" width="2.7109375" style="301" customWidth="1"/>
    <col min="11778" max="11778" width="17.85546875" style="301" customWidth="1"/>
    <col min="11779" max="11779" width="61" style="301" customWidth="1"/>
    <col min="11780" max="11785" width="18" style="301" customWidth="1"/>
    <col min="11786" max="11786" width="2.7109375" style="301" customWidth="1"/>
    <col min="11787" max="12032" width="11.42578125" style="301" hidden="1"/>
    <col min="12033" max="12033" width="2.7109375" style="301" customWidth="1"/>
    <col min="12034" max="12034" width="17.85546875" style="301" customWidth="1"/>
    <col min="12035" max="12035" width="61" style="301" customWidth="1"/>
    <col min="12036" max="12041" width="18" style="301" customWidth="1"/>
    <col min="12042" max="12042" width="2.7109375" style="301" customWidth="1"/>
    <col min="12043" max="12288" width="11.42578125" style="301" hidden="1"/>
    <col min="12289" max="12289" width="2.7109375" style="301" customWidth="1"/>
    <col min="12290" max="12290" width="17.85546875" style="301" customWidth="1"/>
    <col min="12291" max="12291" width="61" style="301" customWidth="1"/>
    <col min="12292" max="12297" width="18" style="301" customWidth="1"/>
    <col min="12298" max="12298" width="2.7109375" style="301" customWidth="1"/>
    <col min="12299" max="12544" width="11.42578125" style="301" hidden="1"/>
    <col min="12545" max="12545" width="2.7109375" style="301" customWidth="1"/>
    <col min="12546" max="12546" width="17.85546875" style="301" customWidth="1"/>
    <col min="12547" max="12547" width="61" style="301" customWidth="1"/>
    <col min="12548" max="12553" width="18" style="301" customWidth="1"/>
    <col min="12554" max="12554" width="2.7109375" style="301" customWidth="1"/>
    <col min="12555" max="12800" width="11.42578125" style="301" hidden="1"/>
    <col min="12801" max="12801" width="2.7109375" style="301" customWidth="1"/>
    <col min="12802" max="12802" width="17.85546875" style="301" customWidth="1"/>
    <col min="12803" max="12803" width="61" style="301" customWidth="1"/>
    <col min="12804" max="12809" width="18" style="301" customWidth="1"/>
    <col min="12810" max="12810" width="2.7109375" style="301" customWidth="1"/>
    <col min="12811" max="13056" width="11.42578125" style="301" hidden="1"/>
    <col min="13057" max="13057" width="2.7109375" style="301" customWidth="1"/>
    <col min="13058" max="13058" width="17.85546875" style="301" customWidth="1"/>
    <col min="13059" max="13059" width="61" style="301" customWidth="1"/>
    <col min="13060" max="13065" width="18" style="301" customWidth="1"/>
    <col min="13066" max="13066" width="2.7109375" style="301" customWidth="1"/>
    <col min="13067" max="13312" width="11.42578125" style="301" hidden="1"/>
    <col min="13313" max="13313" width="2.7109375" style="301" customWidth="1"/>
    <col min="13314" max="13314" width="17.85546875" style="301" customWidth="1"/>
    <col min="13315" max="13315" width="61" style="301" customWidth="1"/>
    <col min="13316" max="13321" width="18" style="301" customWidth="1"/>
    <col min="13322" max="13322" width="2.7109375" style="301" customWidth="1"/>
    <col min="13323" max="13568" width="11.42578125" style="301" hidden="1"/>
    <col min="13569" max="13569" width="2.7109375" style="301" customWidth="1"/>
    <col min="13570" max="13570" width="17.85546875" style="301" customWidth="1"/>
    <col min="13571" max="13571" width="61" style="301" customWidth="1"/>
    <col min="13572" max="13577" width="18" style="301" customWidth="1"/>
    <col min="13578" max="13578" width="2.7109375" style="301" customWidth="1"/>
    <col min="13579" max="13824" width="11.42578125" style="301" hidden="1"/>
    <col min="13825" max="13825" width="2.7109375" style="301" customWidth="1"/>
    <col min="13826" max="13826" width="17.85546875" style="301" customWidth="1"/>
    <col min="13827" max="13827" width="61" style="301" customWidth="1"/>
    <col min="13828" max="13833" width="18" style="301" customWidth="1"/>
    <col min="13834" max="13834" width="2.7109375" style="301" customWidth="1"/>
    <col min="13835" max="14080" width="11.42578125" style="301" hidden="1"/>
    <col min="14081" max="14081" width="2.7109375" style="301" customWidth="1"/>
    <col min="14082" max="14082" width="17.85546875" style="301" customWidth="1"/>
    <col min="14083" max="14083" width="61" style="301" customWidth="1"/>
    <col min="14084" max="14089" width="18" style="301" customWidth="1"/>
    <col min="14090" max="14090" width="2.7109375" style="301" customWidth="1"/>
    <col min="14091" max="14336" width="11.42578125" style="301" hidden="1"/>
    <col min="14337" max="14337" width="2.7109375" style="301" customWidth="1"/>
    <col min="14338" max="14338" width="17.85546875" style="301" customWidth="1"/>
    <col min="14339" max="14339" width="61" style="301" customWidth="1"/>
    <col min="14340" max="14345" width="18" style="301" customWidth="1"/>
    <col min="14346" max="14346" width="2.7109375" style="301" customWidth="1"/>
    <col min="14347" max="14592" width="11.42578125" style="301" hidden="1"/>
    <col min="14593" max="14593" width="2.7109375" style="301" customWidth="1"/>
    <col min="14594" max="14594" width="17.85546875" style="301" customWidth="1"/>
    <col min="14595" max="14595" width="61" style="301" customWidth="1"/>
    <col min="14596" max="14601" width="18" style="301" customWidth="1"/>
    <col min="14602" max="14602" width="2.7109375" style="301" customWidth="1"/>
    <col min="14603" max="14848" width="11.42578125" style="301" hidden="1"/>
    <col min="14849" max="14849" width="2.7109375" style="301" customWidth="1"/>
    <col min="14850" max="14850" width="17.85546875" style="301" customWidth="1"/>
    <col min="14851" max="14851" width="61" style="301" customWidth="1"/>
    <col min="14852" max="14857" width="18" style="301" customWidth="1"/>
    <col min="14858" max="14858" width="2.7109375" style="301" customWidth="1"/>
    <col min="14859" max="15104" width="11.42578125" style="301" hidden="1"/>
    <col min="15105" max="15105" width="2.7109375" style="301" customWidth="1"/>
    <col min="15106" max="15106" width="17.85546875" style="301" customWidth="1"/>
    <col min="15107" max="15107" width="61" style="301" customWidth="1"/>
    <col min="15108" max="15113" width="18" style="301" customWidth="1"/>
    <col min="15114" max="15114" width="2.7109375" style="301" customWidth="1"/>
    <col min="15115" max="15360" width="11.42578125" style="301" hidden="1"/>
    <col min="15361" max="15361" width="2.7109375" style="301" customWidth="1"/>
    <col min="15362" max="15362" width="17.85546875" style="301" customWidth="1"/>
    <col min="15363" max="15363" width="61" style="301" customWidth="1"/>
    <col min="15364" max="15369" width="18" style="301" customWidth="1"/>
    <col min="15370" max="15370" width="2.7109375" style="301" customWidth="1"/>
    <col min="15371" max="15616" width="11.42578125" style="301" hidden="1"/>
    <col min="15617" max="15617" width="2.7109375" style="301" customWidth="1"/>
    <col min="15618" max="15618" width="17.85546875" style="301" customWidth="1"/>
    <col min="15619" max="15619" width="61" style="301" customWidth="1"/>
    <col min="15620" max="15625" width="18" style="301" customWidth="1"/>
    <col min="15626" max="15626" width="2.7109375" style="301" customWidth="1"/>
    <col min="15627" max="15872" width="11.42578125" style="301" hidden="1"/>
    <col min="15873" max="15873" width="2.7109375" style="301" customWidth="1"/>
    <col min="15874" max="15874" width="17.85546875" style="301" customWidth="1"/>
    <col min="15875" max="15875" width="61" style="301" customWidth="1"/>
    <col min="15876" max="15881" width="18" style="301" customWidth="1"/>
    <col min="15882" max="15882" width="2.7109375" style="301" customWidth="1"/>
    <col min="15883" max="16128" width="11.42578125" style="301" hidden="1"/>
    <col min="16129" max="16129" width="2.7109375" style="301" customWidth="1"/>
    <col min="16130" max="16130" width="17.85546875" style="301" customWidth="1"/>
    <col min="16131" max="16131" width="61" style="301" customWidth="1"/>
    <col min="16132" max="16137" width="18" style="301" customWidth="1"/>
    <col min="16138" max="16138" width="2.7109375" style="301" customWidth="1"/>
    <col min="16139" max="16384" width="11.42578125" style="301" hidden="1"/>
  </cols>
  <sheetData>
    <row r="1" spans="2:9"/>
    <row r="2" spans="2:9" ht="15">
      <c r="B2" s="628" t="s">
        <v>0</v>
      </c>
      <c r="C2" s="629"/>
      <c r="D2" s="629"/>
      <c r="E2" s="629"/>
      <c r="F2" s="629"/>
      <c r="G2" s="629"/>
      <c r="H2" s="629"/>
      <c r="I2" s="630"/>
    </row>
    <row r="3" spans="2:9" ht="15">
      <c r="B3" s="631" t="s">
        <v>4</v>
      </c>
      <c r="C3" s="632"/>
      <c r="D3" s="632"/>
      <c r="E3" s="632"/>
      <c r="F3" s="632"/>
      <c r="G3" s="632"/>
      <c r="H3" s="632"/>
      <c r="I3" s="633"/>
    </row>
    <row r="4" spans="2:9" ht="15">
      <c r="B4" s="634" t="s">
        <v>230</v>
      </c>
      <c r="C4" s="635"/>
      <c r="D4" s="635"/>
      <c r="E4" s="635"/>
      <c r="F4" s="635"/>
      <c r="G4" s="635"/>
      <c r="H4" s="635"/>
      <c r="I4" s="636"/>
    </row>
    <row r="5" spans="2:9" ht="15">
      <c r="B5" s="634" t="s">
        <v>304</v>
      </c>
      <c r="C5" s="635"/>
      <c r="D5" s="635"/>
      <c r="E5" s="635"/>
      <c r="F5" s="635"/>
      <c r="G5" s="635"/>
      <c r="H5" s="635"/>
      <c r="I5" s="636"/>
    </row>
    <row r="6" spans="2:9" ht="15">
      <c r="B6" s="637" t="s">
        <v>415</v>
      </c>
      <c r="C6" s="638"/>
      <c r="D6" s="638"/>
      <c r="E6" s="638"/>
      <c r="F6" s="638"/>
      <c r="G6" s="638"/>
      <c r="H6" s="638"/>
      <c r="I6" s="639"/>
    </row>
    <row r="7" spans="2:9">
      <c r="B7" s="234"/>
      <c r="C7" s="234"/>
      <c r="D7" s="234"/>
      <c r="E7" s="234"/>
      <c r="F7" s="234"/>
      <c r="G7" s="234"/>
      <c r="H7" s="234"/>
      <c r="I7" s="234"/>
    </row>
    <row r="8" spans="2:9">
      <c r="B8" s="649" t="s">
        <v>67</v>
      </c>
      <c r="C8" s="657"/>
      <c r="D8" s="646" t="s">
        <v>232</v>
      </c>
      <c r="E8" s="647"/>
      <c r="F8" s="647"/>
      <c r="G8" s="647"/>
      <c r="H8" s="648"/>
      <c r="I8" s="661" t="s">
        <v>233</v>
      </c>
    </row>
    <row r="9" spans="2:9" ht="27.75" customHeight="1">
      <c r="B9" s="658"/>
      <c r="C9" s="659"/>
      <c r="D9" s="302" t="s">
        <v>234</v>
      </c>
      <c r="E9" s="303" t="s">
        <v>235</v>
      </c>
      <c r="F9" s="302" t="s">
        <v>206</v>
      </c>
      <c r="G9" s="302" t="s">
        <v>207</v>
      </c>
      <c r="H9" s="302" t="s">
        <v>236</v>
      </c>
      <c r="I9" s="662"/>
    </row>
    <row r="10" spans="2:9">
      <c r="B10" s="650"/>
      <c r="C10" s="660"/>
      <c r="D10" s="302">
        <v>1</v>
      </c>
      <c r="E10" s="302">
        <v>2</v>
      </c>
      <c r="F10" s="302" t="s">
        <v>237</v>
      </c>
      <c r="G10" s="302">
        <v>4</v>
      </c>
      <c r="H10" s="302">
        <v>5</v>
      </c>
      <c r="I10" s="304" t="s">
        <v>238</v>
      </c>
    </row>
    <row r="11" spans="2:9">
      <c r="B11" s="305"/>
      <c r="C11" s="306"/>
      <c r="D11" s="307"/>
      <c r="E11" s="307"/>
      <c r="F11" s="307"/>
      <c r="G11" s="307"/>
      <c r="H11" s="307"/>
      <c r="I11" s="307"/>
    </row>
    <row r="12" spans="2:9">
      <c r="B12" s="655" t="s">
        <v>305</v>
      </c>
      <c r="C12" s="656"/>
      <c r="D12" s="308">
        <f t="shared" ref="D12:I12" si="0">SUM(D13:D20)</f>
        <v>0</v>
      </c>
      <c r="E12" s="308">
        <f t="shared" si="0"/>
        <v>0</v>
      </c>
      <c r="F12" s="308">
        <f t="shared" si="0"/>
        <v>0</v>
      </c>
      <c r="G12" s="308">
        <f t="shared" si="0"/>
        <v>0</v>
      </c>
      <c r="H12" s="308">
        <f t="shared" si="0"/>
        <v>0</v>
      </c>
      <c r="I12" s="308">
        <f t="shared" si="0"/>
        <v>0</v>
      </c>
    </row>
    <row r="13" spans="2:9" ht="15" customHeight="1">
      <c r="B13" s="653" t="s">
        <v>306</v>
      </c>
      <c r="C13" s="654"/>
      <c r="D13" s="309"/>
      <c r="E13" s="309"/>
      <c r="F13" s="310">
        <f>IF(AND(D13&gt;=0,E13&gt;=0),(D13+E13),"-")</f>
        <v>0</v>
      </c>
      <c r="G13" s="309"/>
      <c r="H13" s="309"/>
      <c r="I13" s="310">
        <f>IF(AND(F13&gt;=0,G13&gt;=0),(F13-G13),"-")</f>
        <v>0</v>
      </c>
    </row>
    <row r="14" spans="2:9" ht="15" customHeight="1">
      <c r="B14" s="653" t="s">
        <v>307</v>
      </c>
      <c r="C14" s="654"/>
      <c r="D14" s="309"/>
      <c r="E14" s="309"/>
      <c r="F14" s="310">
        <f t="shared" ref="F14:F20" si="1">IF(AND(D14&gt;=0,E14&gt;=0),(D14+E14),"-")</f>
        <v>0</v>
      </c>
      <c r="G14" s="309"/>
      <c r="H14" s="309"/>
      <c r="I14" s="310">
        <f t="shared" ref="I14:I19" si="2">IF(AND(F14&gt;=0,G14&gt;=0),(F14-G14),"-")</f>
        <v>0</v>
      </c>
    </row>
    <row r="15" spans="2:9" ht="15" customHeight="1">
      <c r="B15" s="653" t="s">
        <v>308</v>
      </c>
      <c r="C15" s="654"/>
      <c r="D15" s="309"/>
      <c r="E15" s="309"/>
      <c r="F15" s="310">
        <f t="shared" si="1"/>
        <v>0</v>
      </c>
      <c r="G15" s="309"/>
      <c r="H15" s="309"/>
      <c r="I15" s="310">
        <f t="shared" si="2"/>
        <v>0</v>
      </c>
    </row>
    <row r="16" spans="2:9" ht="15" customHeight="1">
      <c r="B16" s="653" t="s">
        <v>309</v>
      </c>
      <c r="C16" s="654"/>
      <c r="D16" s="309"/>
      <c r="E16" s="309"/>
      <c r="F16" s="310">
        <f t="shared" si="1"/>
        <v>0</v>
      </c>
      <c r="G16" s="309"/>
      <c r="H16" s="309"/>
      <c r="I16" s="310">
        <f t="shared" si="2"/>
        <v>0</v>
      </c>
    </row>
    <row r="17" spans="2:9" ht="15" customHeight="1">
      <c r="B17" s="653" t="s">
        <v>310</v>
      </c>
      <c r="C17" s="654"/>
      <c r="D17" s="309"/>
      <c r="E17" s="309"/>
      <c r="F17" s="310">
        <f t="shared" si="1"/>
        <v>0</v>
      </c>
      <c r="G17" s="309"/>
      <c r="H17" s="309"/>
      <c r="I17" s="310">
        <f t="shared" si="2"/>
        <v>0</v>
      </c>
    </row>
    <row r="18" spans="2:9" ht="15" customHeight="1">
      <c r="B18" s="653" t="s">
        <v>311</v>
      </c>
      <c r="C18" s="654"/>
      <c r="D18" s="309"/>
      <c r="E18" s="309"/>
      <c r="F18" s="310">
        <f t="shared" si="1"/>
        <v>0</v>
      </c>
      <c r="G18" s="309"/>
      <c r="H18" s="309"/>
      <c r="I18" s="310">
        <f t="shared" si="2"/>
        <v>0</v>
      </c>
    </row>
    <row r="19" spans="2:9" ht="15" customHeight="1">
      <c r="B19" s="653" t="s">
        <v>312</v>
      </c>
      <c r="C19" s="654"/>
      <c r="D19" s="309"/>
      <c r="E19" s="309"/>
      <c r="F19" s="310">
        <f t="shared" si="1"/>
        <v>0</v>
      </c>
      <c r="G19" s="309"/>
      <c r="H19" s="309"/>
      <c r="I19" s="310">
        <f t="shared" si="2"/>
        <v>0</v>
      </c>
    </row>
    <row r="20" spans="2:9" ht="15" customHeight="1">
      <c r="B20" s="653" t="s">
        <v>313</v>
      </c>
      <c r="C20" s="654"/>
      <c r="D20" s="309"/>
      <c r="E20" s="309"/>
      <c r="F20" s="310">
        <f t="shared" si="1"/>
        <v>0</v>
      </c>
      <c r="G20" s="309"/>
      <c r="H20" s="309"/>
      <c r="I20" s="310">
        <f>IF(AND(F20&gt;=0,G20&gt;=0),(F20-G20),"-")</f>
        <v>0</v>
      </c>
    </row>
    <row r="21" spans="2:9">
      <c r="B21" s="311"/>
      <c r="C21" s="312"/>
      <c r="D21" s="313"/>
      <c r="E21" s="313"/>
      <c r="F21" s="313"/>
      <c r="G21" s="313"/>
      <c r="H21" s="313"/>
      <c r="I21" s="313"/>
    </row>
    <row r="22" spans="2:9">
      <c r="B22" s="655" t="s">
        <v>314</v>
      </c>
      <c r="C22" s="656"/>
      <c r="D22" s="308">
        <f t="shared" ref="D22:I22" si="3">SUM(D23:D29)</f>
        <v>27690470.02</v>
      </c>
      <c r="E22" s="308">
        <f t="shared" si="3"/>
        <v>20499143</v>
      </c>
      <c r="F22" s="308">
        <f t="shared" si="3"/>
        <v>48189613.019999996</v>
      </c>
      <c r="G22" s="308">
        <f t="shared" si="3"/>
        <v>30563776</v>
      </c>
      <c r="H22" s="308">
        <f t="shared" si="3"/>
        <v>29756491</v>
      </c>
      <c r="I22" s="308">
        <f t="shared" si="3"/>
        <v>17625837.019999996</v>
      </c>
    </row>
    <row r="23" spans="2:9" ht="15" customHeight="1">
      <c r="B23" s="653" t="s">
        <v>315</v>
      </c>
      <c r="C23" s="654"/>
      <c r="D23" s="314"/>
      <c r="E23" s="314"/>
      <c r="F23" s="310">
        <f t="shared" ref="F23:F40" si="4">IF(AND(D23&gt;=0,E23&gt;=0),(D23+E23),"-")</f>
        <v>0</v>
      </c>
      <c r="G23" s="314"/>
      <c r="H23" s="314"/>
      <c r="I23" s="310">
        <f>IF(AND(F23&gt;=0,G23&gt;=0),(F23-G23),"-")</f>
        <v>0</v>
      </c>
    </row>
    <row r="24" spans="2:9" ht="15" customHeight="1">
      <c r="B24" s="653" t="s">
        <v>316</v>
      </c>
      <c r="C24" s="654"/>
      <c r="D24" s="314"/>
      <c r="E24" s="314"/>
      <c r="F24" s="310">
        <f t="shared" si="4"/>
        <v>0</v>
      </c>
      <c r="G24" s="314"/>
      <c r="H24" s="314"/>
      <c r="I24" s="310">
        <f t="shared" ref="I24:I29" si="5">IF(AND(F24&gt;=0,G24&gt;=0),(F24-G24),"-")</f>
        <v>0</v>
      </c>
    </row>
    <row r="25" spans="2:9" ht="15" customHeight="1">
      <c r="B25" s="653" t="s">
        <v>317</v>
      </c>
      <c r="C25" s="654"/>
      <c r="D25" s="314"/>
      <c r="E25" s="314"/>
      <c r="F25" s="310">
        <f t="shared" si="4"/>
        <v>0</v>
      </c>
      <c r="G25" s="314"/>
      <c r="H25" s="314"/>
      <c r="I25" s="310">
        <f t="shared" si="5"/>
        <v>0</v>
      </c>
    </row>
    <row r="26" spans="2:9" ht="15" customHeight="1">
      <c r="B26" s="653" t="s">
        <v>318</v>
      </c>
      <c r="C26" s="654"/>
      <c r="D26" s="314"/>
      <c r="E26" s="314"/>
      <c r="F26" s="310">
        <f t="shared" si="4"/>
        <v>0</v>
      </c>
      <c r="G26" s="314"/>
      <c r="H26" s="314"/>
      <c r="I26" s="310">
        <f t="shared" si="5"/>
        <v>0</v>
      </c>
    </row>
    <row r="27" spans="2:9" ht="15" customHeight="1">
      <c r="B27" s="653" t="s">
        <v>319</v>
      </c>
      <c r="C27" s="654"/>
      <c r="D27" s="314">
        <v>27690470.02</v>
      </c>
      <c r="E27" s="314">
        <v>20499143</v>
      </c>
      <c r="F27" s="310">
        <f t="shared" si="4"/>
        <v>48189613.019999996</v>
      </c>
      <c r="G27" s="314">
        <v>30563776</v>
      </c>
      <c r="H27" s="314">
        <v>29756491</v>
      </c>
      <c r="I27" s="310">
        <f t="shared" si="5"/>
        <v>17625837.019999996</v>
      </c>
    </row>
    <row r="28" spans="2:9" ht="15" customHeight="1">
      <c r="B28" s="653" t="s">
        <v>320</v>
      </c>
      <c r="C28" s="654"/>
      <c r="D28" s="314"/>
      <c r="E28" s="314"/>
      <c r="F28" s="310">
        <f t="shared" si="4"/>
        <v>0</v>
      </c>
      <c r="G28" s="314"/>
      <c r="H28" s="314"/>
      <c r="I28" s="310">
        <f t="shared" si="5"/>
        <v>0</v>
      </c>
    </row>
    <row r="29" spans="2:9" ht="15" customHeight="1">
      <c r="B29" s="653" t="s">
        <v>321</v>
      </c>
      <c r="C29" s="654"/>
      <c r="D29" s="314"/>
      <c r="E29" s="314"/>
      <c r="F29" s="310">
        <f t="shared" si="4"/>
        <v>0</v>
      </c>
      <c r="G29" s="314"/>
      <c r="H29" s="314"/>
      <c r="I29" s="310">
        <f t="shared" si="5"/>
        <v>0</v>
      </c>
    </row>
    <row r="30" spans="2:9">
      <c r="B30" s="311"/>
      <c r="C30" s="312"/>
      <c r="D30" s="315"/>
      <c r="E30" s="315"/>
      <c r="F30" s="313"/>
      <c r="G30" s="315"/>
      <c r="H30" s="315"/>
      <c r="I30" s="315"/>
    </row>
    <row r="31" spans="2:9">
      <c r="B31" s="655" t="s">
        <v>322</v>
      </c>
      <c r="C31" s="656"/>
      <c r="D31" s="316">
        <f t="shared" ref="D31:I31" si="6">SUM(D32:D40)</f>
        <v>0</v>
      </c>
      <c r="E31" s="316">
        <f t="shared" si="6"/>
        <v>0</v>
      </c>
      <c r="F31" s="316">
        <f t="shared" si="6"/>
        <v>0</v>
      </c>
      <c r="G31" s="316">
        <f t="shared" si="6"/>
        <v>0</v>
      </c>
      <c r="H31" s="316">
        <f t="shared" si="6"/>
        <v>0</v>
      </c>
      <c r="I31" s="316">
        <f t="shared" si="6"/>
        <v>0</v>
      </c>
    </row>
    <row r="32" spans="2:9" ht="15" customHeight="1">
      <c r="B32" s="653" t="s">
        <v>323</v>
      </c>
      <c r="C32" s="654"/>
      <c r="D32" s="314"/>
      <c r="E32" s="314"/>
      <c r="F32" s="310">
        <f t="shared" si="4"/>
        <v>0</v>
      </c>
      <c r="G32" s="314"/>
      <c r="H32" s="314"/>
      <c r="I32" s="310">
        <f t="shared" ref="I32:I40" si="7">IF(AND(F32&gt;=0,G32&gt;=0),(F32-G32),"-")</f>
        <v>0</v>
      </c>
    </row>
    <row r="33" spans="2:9" ht="15" customHeight="1">
      <c r="B33" s="653" t="s">
        <v>324</v>
      </c>
      <c r="C33" s="654"/>
      <c r="D33" s="314"/>
      <c r="E33" s="314"/>
      <c r="F33" s="310">
        <f t="shared" si="4"/>
        <v>0</v>
      </c>
      <c r="G33" s="314"/>
      <c r="H33" s="314"/>
      <c r="I33" s="310">
        <f t="shared" si="7"/>
        <v>0</v>
      </c>
    </row>
    <row r="34" spans="2:9" ht="15" customHeight="1">
      <c r="B34" s="653" t="s">
        <v>325</v>
      </c>
      <c r="C34" s="654"/>
      <c r="D34" s="314"/>
      <c r="E34" s="314"/>
      <c r="F34" s="310">
        <f t="shared" si="4"/>
        <v>0</v>
      </c>
      <c r="G34" s="314"/>
      <c r="H34" s="314"/>
      <c r="I34" s="310">
        <f t="shared" si="7"/>
        <v>0</v>
      </c>
    </row>
    <row r="35" spans="2:9" ht="15" customHeight="1">
      <c r="B35" s="653" t="s">
        <v>326</v>
      </c>
      <c r="C35" s="654"/>
      <c r="D35" s="314"/>
      <c r="E35" s="314"/>
      <c r="F35" s="310">
        <f t="shared" si="4"/>
        <v>0</v>
      </c>
      <c r="G35" s="314"/>
      <c r="H35" s="314"/>
      <c r="I35" s="310">
        <f t="shared" si="7"/>
        <v>0</v>
      </c>
    </row>
    <row r="36" spans="2:9" ht="15" customHeight="1">
      <c r="B36" s="653" t="s">
        <v>327</v>
      </c>
      <c r="C36" s="654"/>
      <c r="D36" s="314"/>
      <c r="E36" s="314"/>
      <c r="F36" s="310">
        <f t="shared" si="4"/>
        <v>0</v>
      </c>
      <c r="G36" s="314"/>
      <c r="H36" s="314"/>
      <c r="I36" s="310">
        <f t="shared" si="7"/>
        <v>0</v>
      </c>
    </row>
    <row r="37" spans="2:9" ht="15" customHeight="1">
      <c r="B37" s="653" t="s">
        <v>328</v>
      </c>
      <c r="C37" s="654"/>
      <c r="D37" s="314"/>
      <c r="E37" s="314"/>
      <c r="F37" s="310">
        <f t="shared" si="4"/>
        <v>0</v>
      </c>
      <c r="G37" s="314"/>
      <c r="H37" s="314"/>
      <c r="I37" s="310">
        <f t="shared" si="7"/>
        <v>0</v>
      </c>
    </row>
    <row r="38" spans="2:9" ht="15" customHeight="1">
      <c r="B38" s="653" t="s">
        <v>329</v>
      </c>
      <c r="C38" s="654"/>
      <c r="D38" s="314"/>
      <c r="E38" s="314"/>
      <c r="F38" s="310">
        <f t="shared" si="4"/>
        <v>0</v>
      </c>
      <c r="G38" s="314"/>
      <c r="H38" s="314"/>
      <c r="I38" s="310">
        <f t="shared" si="7"/>
        <v>0</v>
      </c>
    </row>
    <row r="39" spans="2:9" ht="15" customHeight="1">
      <c r="B39" s="653" t="s">
        <v>330</v>
      </c>
      <c r="C39" s="654"/>
      <c r="D39" s="314"/>
      <c r="E39" s="314"/>
      <c r="F39" s="310">
        <f t="shared" si="4"/>
        <v>0</v>
      </c>
      <c r="G39" s="314"/>
      <c r="H39" s="314"/>
      <c r="I39" s="310">
        <f t="shared" si="7"/>
        <v>0</v>
      </c>
    </row>
    <row r="40" spans="2:9" ht="15" customHeight="1">
      <c r="B40" s="653" t="s">
        <v>331</v>
      </c>
      <c r="C40" s="654"/>
      <c r="D40" s="314"/>
      <c r="E40" s="314"/>
      <c r="F40" s="310">
        <f t="shared" si="4"/>
        <v>0</v>
      </c>
      <c r="G40" s="314"/>
      <c r="H40" s="314"/>
      <c r="I40" s="310">
        <f t="shared" si="7"/>
        <v>0</v>
      </c>
    </row>
    <row r="41" spans="2:9">
      <c r="B41" s="311"/>
      <c r="C41" s="312"/>
      <c r="D41" s="315"/>
      <c r="E41" s="315"/>
      <c r="F41" s="315"/>
      <c r="G41" s="315"/>
      <c r="H41" s="315"/>
      <c r="I41" s="315"/>
    </row>
    <row r="42" spans="2:9">
      <c r="B42" s="655" t="s">
        <v>332</v>
      </c>
      <c r="C42" s="656"/>
      <c r="D42" s="316">
        <f t="shared" ref="D42:I42" si="8">SUM(D43:D46)</f>
        <v>0</v>
      </c>
      <c r="E42" s="316">
        <f t="shared" si="8"/>
        <v>0</v>
      </c>
      <c r="F42" s="316">
        <f t="shared" si="8"/>
        <v>0</v>
      </c>
      <c r="G42" s="317">
        <f t="shared" si="8"/>
        <v>0</v>
      </c>
      <c r="H42" s="316">
        <f t="shared" si="8"/>
        <v>0</v>
      </c>
      <c r="I42" s="316">
        <f t="shared" si="8"/>
        <v>0</v>
      </c>
    </row>
    <row r="43" spans="2:9" ht="15" customHeight="1">
      <c r="B43" s="653" t="s">
        <v>333</v>
      </c>
      <c r="C43" s="654"/>
      <c r="D43" s="314"/>
      <c r="E43" s="314"/>
      <c r="F43" s="310">
        <f>IF(AND(D43&gt;=0,E43&gt;=0),(D43+E43),"-")</f>
        <v>0</v>
      </c>
      <c r="G43" s="314"/>
      <c r="H43" s="314"/>
      <c r="I43" s="310">
        <f>IF(AND(F43&gt;=0,G43&gt;=0),(F43-G43),"-")</f>
        <v>0</v>
      </c>
    </row>
    <row r="44" spans="2:9" ht="15" customHeight="1">
      <c r="B44" s="653" t="s">
        <v>334</v>
      </c>
      <c r="C44" s="654"/>
      <c r="D44" s="314"/>
      <c r="E44" s="314"/>
      <c r="F44" s="310">
        <f>IF(AND(D44&gt;=0,E44&gt;=0),(D44+E44),"-")</f>
        <v>0</v>
      </c>
      <c r="G44" s="314"/>
      <c r="H44" s="314"/>
      <c r="I44" s="310">
        <f>IF(AND(F44&gt;=0,G44&gt;=0),(F44-G44),"-")</f>
        <v>0</v>
      </c>
    </row>
    <row r="45" spans="2:9" ht="15" customHeight="1">
      <c r="B45" s="653" t="s">
        <v>335</v>
      </c>
      <c r="C45" s="654"/>
      <c r="D45" s="314"/>
      <c r="E45" s="314"/>
      <c r="F45" s="310">
        <f>IF(AND(D45&gt;=0,E45&gt;=0),(D45+E45),"-")</f>
        <v>0</v>
      </c>
      <c r="G45" s="314"/>
      <c r="H45" s="314"/>
      <c r="I45" s="310">
        <f>IF(AND(F45&gt;=0,G45&gt;=0),(F45-G45),"-")</f>
        <v>0</v>
      </c>
    </row>
    <row r="46" spans="2:9" ht="15" customHeight="1">
      <c r="B46" s="653" t="s">
        <v>336</v>
      </c>
      <c r="C46" s="654"/>
      <c r="D46" s="314"/>
      <c r="E46" s="314"/>
      <c r="F46" s="310">
        <f>IF(AND(D46&gt;=0,E46&gt;=0),(D46+E46),"-")</f>
        <v>0</v>
      </c>
      <c r="G46" s="314"/>
      <c r="H46" s="314"/>
      <c r="I46" s="310">
        <f>IF(AND(F46&gt;=0,G46&gt;=0),(F46-G46),"-")</f>
        <v>0</v>
      </c>
    </row>
    <row r="47" spans="2:9">
      <c r="B47" s="318"/>
      <c r="C47" s="319"/>
      <c r="D47" s="320"/>
      <c r="E47" s="320"/>
      <c r="F47" s="320"/>
      <c r="G47" s="320"/>
      <c r="H47" s="320"/>
      <c r="I47" s="320"/>
    </row>
    <row r="48" spans="2:9">
      <c r="B48" s="321"/>
      <c r="C48" s="322" t="s">
        <v>248</v>
      </c>
      <c r="D48" s="323">
        <f t="shared" ref="D48:I48" si="9">SUM(D12,D22,D31,D42)</f>
        <v>27690470.02</v>
      </c>
      <c r="E48" s="323">
        <f t="shared" si="9"/>
        <v>20499143</v>
      </c>
      <c r="F48" s="323">
        <f t="shared" si="9"/>
        <v>48189613.019999996</v>
      </c>
      <c r="G48" s="323">
        <f t="shared" si="9"/>
        <v>30563776</v>
      </c>
      <c r="H48" s="323">
        <f t="shared" si="9"/>
        <v>29756491</v>
      </c>
      <c r="I48" s="323">
        <f t="shared" si="9"/>
        <v>17625837.019999996</v>
      </c>
    </row>
    <row r="49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mergeCells count="40">
    <mergeCell ref="B8:C10"/>
    <mergeCell ref="D8:H8"/>
    <mergeCell ref="I8:I9"/>
    <mergeCell ref="B2:I2"/>
    <mergeCell ref="B3:I3"/>
    <mergeCell ref="B4:I4"/>
    <mergeCell ref="B5:I5"/>
    <mergeCell ref="B6:I6"/>
    <mergeCell ref="B24:C24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2:C22"/>
    <mergeCell ref="B23:C23"/>
    <mergeCell ref="B37:C37"/>
    <mergeCell ref="B25:C25"/>
    <mergeCell ref="B26:C26"/>
    <mergeCell ref="B27:C27"/>
    <mergeCell ref="B28:C28"/>
    <mergeCell ref="B29:C29"/>
    <mergeCell ref="B31:C31"/>
    <mergeCell ref="B32:C32"/>
    <mergeCell ref="B33:C33"/>
    <mergeCell ref="B34:C34"/>
    <mergeCell ref="B35:C35"/>
    <mergeCell ref="B36:C36"/>
    <mergeCell ref="B45:C45"/>
    <mergeCell ref="B46:C46"/>
    <mergeCell ref="B38:C38"/>
    <mergeCell ref="B39:C39"/>
    <mergeCell ref="B40:C40"/>
    <mergeCell ref="B42:C42"/>
    <mergeCell ref="B43:C43"/>
    <mergeCell ref="B44:C44"/>
  </mergeCells>
  <pageMargins left="0.70866141732283472" right="0.70866141732283472" top="0.74803149606299213" bottom="0.74803149606299213" header="0.31496062992125984" footer="0.31496062992125984"/>
  <pageSetup scale="64" orientation="landscape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2:WVR65533"/>
  <sheetViews>
    <sheetView workbookViewId="0">
      <selection activeCell="B6" sqref="B6"/>
    </sheetView>
  </sheetViews>
  <sheetFormatPr baseColWidth="10" defaultColWidth="0" defaultRowHeight="14.25"/>
  <cols>
    <col min="1" max="1" width="2.7109375" style="301" customWidth="1"/>
    <col min="2" max="2" width="13.7109375" style="301" customWidth="1"/>
    <col min="3" max="3" width="19.140625" style="301" customWidth="1"/>
    <col min="4" max="9" width="11.42578125" style="301" customWidth="1"/>
    <col min="10" max="10" width="3.85546875" style="301" customWidth="1"/>
    <col min="11" max="256" width="11.42578125" style="301" hidden="1"/>
    <col min="257" max="257" width="2.7109375" style="301" customWidth="1"/>
    <col min="258" max="258" width="13.7109375" style="301" customWidth="1"/>
    <col min="259" max="259" width="19.140625" style="301" customWidth="1"/>
    <col min="260" max="265" width="11.42578125" style="301" customWidth="1"/>
    <col min="266" max="266" width="3.85546875" style="301" customWidth="1"/>
    <col min="267" max="512" width="11.42578125" style="301" hidden="1"/>
    <col min="513" max="513" width="2.7109375" style="301" customWidth="1"/>
    <col min="514" max="514" width="13.7109375" style="301" customWidth="1"/>
    <col min="515" max="515" width="19.140625" style="301" customWidth="1"/>
    <col min="516" max="521" width="11.42578125" style="301" customWidth="1"/>
    <col min="522" max="522" width="3.85546875" style="301" customWidth="1"/>
    <col min="523" max="768" width="11.42578125" style="301" hidden="1"/>
    <col min="769" max="769" width="2.7109375" style="301" customWidth="1"/>
    <col min="770" max="770" width="13.7109375" style="301" customWidth="1"/>
    <col min="771" max="771" width="19.140625" style="301" customWidth="1"/>
    <col min="772" max="777" width="11.42578125" style="301" customWidth="1"/>
    <col min="778" max="778" width="3.85546875" style="301" customWidth="1"/>
    <col min="779" max="1024" width="11.42578125" style="301" hidden="1"/>
    <col min="1025" max="1025" width="2.7109375" style="301" customWidth="1"/>
    <col min="1026" max="1026" width="13.7109375" style="301" customWidth="1"/>
    <col min="1027" max="1027" width="19.140625" style="301" customWidth="1"/>
    <col min="1028" max="1033" width="11.42578125" style="301" customWidth="1"/>
    <col min="1034" max="1034" width="3.85546875" style="301" customWidth="1"/>
    <col min="1035" max="1280" width="11.42578125" style="301" hidden="1"/>
    <col min="1281" max="1281" width="2.7109375" style="301" customWidth="1"/>
    <col min="1282" max="1282" width="13.7109375" style="301" customWidth="1"/>
    <col min="1283" max="1283" width="19.140625" style="301" customWidth="1"/>
    <col min="1284" max="1289" width="11.42578125" style="301" customWidth="1"/>
    <col min="1290" max="1290" width="3.85546875" style="301" customWidth="1"/>
    <col min="1291" max="1536" width="11.42578125" style="301" hidden="1"/>
    <col min="1537" max="1537" width="2.7109375" style="301" customWidth="1"/>
    <col min="1538" max="1538" width="13.7109375" style="301" customWidth="1"/>
    <col min="1539" max="1539" width="19.140625" style="301" customWidth="1"/>
    <col min="1540" max="1545" width="11.42578125" style="301" customWidth="1"/>
    <col min="1546" max="1546" width="3.85546875" style="301" customWidth="1"/>
    <col min="1547" max="1792" width="11.42578125" style="301" hidden="1"/>
    <col min="1793" max="1793" width="2.7109375" style="301" customWidth="1"/>
    <col min="1794" max="1794" width="13.7109375" style="301" customWidth="1"/>
    <col min="1795" max="1795" width="19.140625" style="301" customWidth="1"/>
    <col min="1796" max="1801" width="11.42578125" style="301" customWidth="1"/>
    <col min="1802" max="1802" width="3.85546875" style="301" customWidth="1"/>
    <col min="1803" max="2048" width="11.42578125" style="301" hidden="1"/>
    <col min="2049" max="2049" width="2.7109375" style="301" customWidth="1"/>
    <col min="2050" max="2050" width="13.7109375" style="301" customWidth="1"/>
    <col min="2051" max="2051" width="19.140625" style="301" customWidth="1"/>
    <col min="2052" max="2057" width="11.42578125" style="301" customWidth="1"/>
    <col min="2058" max="2058" width="3.85546875" style="301" customWidth="1"/>
    <col min="2059" max="2304" width="11.42578125" style="301" hidden="1"/>
    <col min="2305" max="2305" width="2.7109375" style="301" customWidth="1"/>
    <col min="2306" max="2306" width="13.7109375" style="301" customWidth="1"/>
    <col min="2307" max="2307" width="19.140625" style="301" customWidth="1"/>
    <col min="2308" max="2313" width="11.42578125" style="301" customWidth="1"/>
    <col min="2314" max="2314" width="3.85546875" style="301" customWidth="1"/>
    <col min="2315" max="2560" width="11.42578125" style="301" hidden="1"/>
    <col min="2561" max="2561" width="2.7109375" style="301" customWidth="1"/>
    <col min="2562" max="2562" width="13.7109375" style="301" customWidth="1"/>
    <col min="2563" max="2563" width="19.140625" style="301" customWidth="1"/>
    <col min="2564" max="2569" width="11.42578125" style="301" customWidth="1"/>
    <col min="2570" max="2570" width="3.85546875" style="301" customWidth="1"/>
    <col min="2571" max="2816" width="11.42578125" style="301" hidden="1"/>
    <col min="2817" max="2817" width="2.7109375" style="301" customWidth="1"/>
    <col min="2818" max="2818" width="13.7109375" style="301" customWidth="1"/>
    <col min="2819" max="2819" width="19.140625" style="301" customWidth="1"/>
    <col min="2820" max="2825" width="11.42578125" style="301" customWidth="1"/>
    <col min="2826" max="2826" width="3.85546875" style="301" customWidth="1"/>
    <col min="2827" max="3072" width="11.42578125" style="301" hidden="1"/>
    <col min="3073" max="3073" width="2.7109375" style="301" customWidth="1"/>
    <col min="3074" max="3074" width="13.7109375" style="301" customWidth="1"/>
    <col min="3075" max="3075" width="19.140625" style="301" customWidth="1"/>
    <col min="3076" max="3081" width="11.42578125" style="301" customWidth="1"/>
    <col min="3082" max="3082" width="3.85546875" style="301" customWidth="1"/>
    <col min="3083" max="3328" width="11.42578125" style="301" hidden="1"/>
    <col min="3329" max="3329" width="2.7109375" style="301" customWidth="1"/>
    <col min="3330" max="3330" width="13.7109375" style="301" customWidth="1"/>
    <col min="3331" max="3331" width="19.140625" style="301" customWidth="1"/>
    <col min="3332" max="3337" width="11.42578125" style="301" customWidth="1"/>
    <col min="3338" max="3338" width="3.85546875" style="301" customWidth="1"/>
    <col min="3339" max="3584" width="11.42578125" style="301" hidden="1"/>
    <col min="3585" max="3585" width="2.7109375" style="301" customWidth="1"/>
    <col min="3586" max="3586" width="13.7109375" style="301" customWidth="1"/>
    <col min="3587" max="3587" width="19.140625" style="301" customWidth="1"/>
    <col min="3588" max="3593" width="11.42578125" style="301" customWidth="1"/>
    <col min="3594" max="3594" width="3.85546875" style="301" customWidth="1"/>
    <col min="3595" max="3840" width="11.42578125" style="301" hidden="1"/>
    <col min="3841" max="3841" width="2.7109375" style="301" customWidth="1"/>
    <col min="3842" max="3842" width="13.7109375" style="301" customWidth="1"/>
    <col min="3843" max="3843" width="19.140625" style="301" customWidth="1"/>
    <col min="3844" max="3849" width="11.42578125" style="301" customWidth="1"/>
    <col min="3850" max="3850" width="3.85546875" style="301" customWidth="1"/>
    <col min="3851" max="4096" width="11.42578125" style="301" hidden="1"/>
    <col min="4097" max="4097" width="2.7109375" style="301" customWidth="1"/>
    <col min="4098" max="4098" width="13.7109375" style="301" customWidth="1"/>
    <col min="4099" max="4099" width="19.140625" style="301" customWidth="1"/>
    <col min="4100" max="4105" width="11.42578125" style="301" customWidth="1"/>
    <col min="4106" max="4106" width="3.85546875" style="301" customWidth="1"/>
    <col min="4107" max="4352" width="11.42578125" style="301" hidden="1"/>
    <col min="4353" max="4353" width="2.7109375" style="301" customWidth="1"/>
    <col min="4354" max="4354" width="13.7109375" style="301" customWidth="1"/>
    <col min="4355" max="4355" width="19.140625" style="301" customWidth="1"/>
    <col min="4356" max="4361" width="11.42578125" style="301" customWidth="1"/>
    <col min="4362" max="4362" width="3.85546875" style="301" customWidth="1"/>
    <col min="4363" max="4608" width="11.42578125" style="301" hidden="1"/>
    <col min="4609" max="4609" width="2.7109375" style="301" customWidth="1"/>
    <col min="4610" max="4610" width="13.7109375" style="301" customWidth="1"/>
    <col min="4611" max="4611" width="19.140625" style="301" customWidth="1"/>
    <col min="4612" max="4617" width="11.42578125" style="301" customWidth="1"/>
    <col min="4618" max="4618" width="3.85546875" style="301" customWidth="1"/>
    <col min="4619" max="4864" width="11.42578125" style="301" hidden="1"/>
    <col min="4865" max="4865" width="2.7109375" style="301" customWidth="1"/>
    <col min="4866" max="4866" width="13.7109375" style="301" customWidth="1"/>
    <col min="4867" max="4867" width="19.140625" style="301" customWidth="1"/>
    <col min="4868" max="4873" width="11.42578125" style="301" customWidth="1"/>
    <col min="4874" max="4874" width="3.85546875" style="301" customWidth="1"/>
    <col min="4875" max="5120" width="11.42578125" style="301" hidden="1"/>
    <col min="5121" max="5121" width="2.7109375" style="301" customWidth="1"/>
    <col min="5122" max="5122" width="13.7109375" style="301" customWidth="1"/>
    <col min="5123" max="5123" width="19.140625" style="301" customWidth="1"/>
    <col min="5124" max="5129" width="11.42578125" style="301" customWidth="1"/>
    <col min="5130" max="5130" width="3.85546875" style="301" customWidth="1"/>
    <col min="5131" max="5376" width="11.42578125" style="301" hidden="1"/>
    <col min="5377" max="5377" width="2.7109375" style="301" customWidth="1"/>
    <col min="5378" max="5378" width="13.7109375" style="301" customWidth="1"/>
    <col min="5379" max="5379" width="19.140625" style="301" customWidth="1"/>
    <col min="5380" max="5385" width="11.42578125" style="301" customWidth="1"/>
    <col min="5386" max="5386" width="3.85546875" style="301" customWidth="1"/>
    <col min="5387" max="5632" width="11.42578125" style="301" hidden="1"/>
    <col min="5633" max="5633" width="2.7109375" style="301" customWidth="1"/>
    <col min="5634" max="5634" width="13.7109375" style="301" customWidth="1"/>
    <col min="5635" max="5635" width="19.140625" style="301" customWidth="1"/>
    <col min="5636" max="5641" width="11.42578125" style="301" customWidth="1"/>
    <col min="5642" max="5642" width="3.85546875" style="301" customWidth="1"/>
    <col min="5643" max="5888" width="11.42578125" style="301" hidden="1"/>
    <col min="5889" max="5889" width="2.7109375" style="301" customWidth="1"/>
    <col min="5890" max="5890" width="13.7109375" style="301" customWidth="1"/>
    <col min="5891" max="5891" width="19.140625" style="301" customWidth="1"/>
    <col min="5892" max="5897" width="11.42578125" style="301" customWidth="1"/>
    <col min="5898" max="5898" width="3.85546875" style="301" customWidth="1"/>
    <col min="5899" max="6144" width="11.42578125" style="301" hidden="1"/>
    <col min="6145" max="6145" width="2.7109375" style="301" customWidth="1"/>
    <col min="6146" max="6146" width="13.7109375" style="301" customWidth="1"/>
    <col min="6147" max="6147" width="19.140625" style="301" customWidth="1"/>
    <col min="6148" max="6153" width="11.42578125" style="301" customWidth="1"/>
    <col min="6154" max="6154" width="3.85546875" style="301" customWidth="1"/>
    <col min="6155" max="6400" width="11.42578125" style="301" hidden="1"/>
    <col min="6401" max="6401" width="2.7109375" style="301" customWidth="1"/>
    <col min="6402" max="6402" width="13.7109375" style="301" customWidth="1"/>
    <col min="6403" max="6403" width="19.140625" style="301" customWidth="1"/>
    <col min="6404" max="6409" width="11.42578125" style="301" customWidth="1"/>
    <col min="6410" max="6410" width="3.85546875" style="301" customWidth="1"/>
    <col min="6411" max="6656" width="11.42578125" style="301" hidden="1"/>
    <col min="6657" max="6657" width="2.7109375" style="301" customWidth="1"/>
    <col min="6658" max="6658" width="13.7109375" style="301" customWidth="1"/>
    <col min="6659" max="6659" width="19.140625" style="301" customWidth="1"/>
    <col min="6660" max="6665" width="11.42578125" style="301" customWidth="1"/>
    <col min="6666" max="6666" width="3.85546875" style="301" customWidth="1"/>
    <col min="6667" max="6912" width="11.42578125" style="301" hidden="1"/>
    <col min="6913" max="6913" width="2.7109375" style="301" customWidth="1"/>
    <col min="6914" max="6914" width="13.7109375" style="301" customWidth="1"/>
    <col min="6915" max="6915" width="19.140625" style="301" customWidth="1"/>
    <col min="6916" max="6921" width="11.42578125" style="301" customWidth="1"/>
    <col min="6922" max="6922" width="3.85546875" style="301" customWidth="1"/>
    <col min="6923" max="7168" width="11.42578125" style="301" hidden="1"/>
    <col min="7169" max="7169" width="2.7109375" style="301" customWidth="1"/>
    <col min="7170" max="7170" width="13.7109375" style="301" customWidth="1"/>
    <col min="7171" max="7171" width="19.140625" style="301" customWidth="1"/>
    <col min="7172" max="7177" width="11.42578125" style="301" customWidth="1"/>
    <col min="7178" max="7178" width="3.85546875" style="301" customWidth="1"/>
    <col min="7179" max="7424" width="11.42578125" style="301" hidden="1"/>
    <col min="7425" max="7425" width="2.7109375" style="301" customWidth="1"/>
    <col min="7426" max="7426" width="13.7109375" style="301" customWidth="1"/>
    <col min="7427" max="7427" width="19.140625" style="301" customWidth="1"/>
    <col min="7428" max="7433" width="11.42578125" style="301" customWidth="1"/>
    <col min="7434" max="7434" width="3.85546875" style="301" customWidth="1"/>
    <col min="7435" max="7680" width="11.42578125" style="301" hidden="1"/>
    <col min="7681" max="7681" width="2.7109375" style="301" customWidth="1"/>
    <col min="7682" max="7682" width="13.7109375" style="301" customWidth="1"/>
    <col min="7683" max="7683" width="19.140625" style="301" customWidth="1"/>
    <col min="7684" max="7689" width="11.42578125" style="301" customWidth="1"/>
    <col min="7690" max="7690" width="3.85546875" style="301" customWidth="1"/>
    <col min="7691" max="7936" width="11.42578125" style="301" hidden="1"/>
    <col min="7937" max="7937" width="2.7109375" style="301" customWidth="1"/>
    <col min="7938" max="7938" width="13.7109375" style="301" customWidth="1"/>
    <col min="7939" max="7939" width="19.140625" style="301" customWidth="1"/>
    <col min="7940" max="7945" width="11.42578125" style="301" customWidth="1"/>
    <col min="7946" max="7946" width="3.85546875" style="301" customWidth="1"/>
    <col min="7947" max="8192" width="11.42578125" style="301" hidden="1"/>
    <col min="8193" max="8193" width="2.7109375" style="301" customWidth="1"/>
    <col min="8194" max="8194" width="13.7109375" style="301" customWidth="1"/>
    <col min="8195" max="8195" width="19.140625" style="301" customWidth="1"/>
    <col min="8196" max="8201" width="11.42578125" style="301" customWidth="1"/>
    <col min="8202" max="8202" width="3.85546875" style="301" customWidth="1"/>
    <col min="8203" max="8448" width="11.42578125" style="301" hidden="1"/>
    <col min="8449" max="8449" width="2.7109375" style="301" customWidth="1"/>
    <col min="8450" max="8450" width="13.7109375" style="301" customWidth="1"/>
    <col min="8451" max="8451" width="19.140625" style="301" customWidth="1"/>
    <col min="8452" max="8457" width="11.42578125" style="301" customWidth="1"/>
    <col min="8458" max="8458" width="3.85546875" style="301" customWidth="1"/>
    <col min="8459" max="8704" width="11.42578125" style="301" hidden="1"/>
    <col min="8705" max="8705" width="2.7109375" style="301" customWidth="1"/>
    <col min="8706" max="8706" width="13.7109375" style="301" customWidth="1"/>
    <col min="8707" max="8707" width="19.140625" style="301" customWidth="1"/>
    <col min="8708" max="8713" width="11.42578125" style="301" customWidth="1"/>
    <col min="8714" max="8714" width="3.85546875" style="301" customWidth="1"/>
    <col min="8715" max="8960" width="11.42578125" style="301" hidden="1"/>
    <col min="8961" max="8961" width="2.7109375" style="301" customWidth="1"/>
    <col min="8962" max="8962" width="13.7109375" style="301" customWidth="1"/>
    <col min="8963" max="8963" width="19.140625" style="301" customWidth="1"/>
    <col min="8964" max="8969" width="11.42578125" style="301" customWidth="1"/>
    <col min="8970" max="8970" width="3.85546875" style="301" customWidth="1"/>
    <col min="8971" max="9216" width="11.42578125" style="301" hidden="1"/>
    <col min="9217" max="9217" width="2.7109375" style="301" customWidth="1"/>
    <col min="9218" max="9218" width="13.7109375" style="301" customWidth="1"/>
    <col min="9219" max="9219" width="19.140625" style="301" customWidth="1"/>
    <col min="9220" max="9225" width="11.42578125" style="301" customWidth="1"/>
    <col min="9226" max="9226" width="3.85546875" style="301" customWidth="1"/>
    <col min="9227" max="9472" width="11.42578125" style="301" hidden="1"/>
    <col min="9473" max="9473" width="2.7109375" style="301" customWidth="1"/>
    <col min="9474" max="9474" width="13.7109375" style="301" customWidth="1"/>
    <col min="9475" max="9475" width="19.140625" style="301" customWidth="1"/>
    <col min="9476" max="9481" width="11.42578125" style="301" customWidth="1"/>
    <col min="9482" max="9482" width="3.85546875" style="301" customWidth="1"/>
    <col min="9483" max="9728" width="11.42578125" style="301" hidden="1"/>
    <col min="9729" max="9729" width="2.7109375" style="301" customWidth="1"/>
    <col min="9730" max="9730" width="13.7109375" style="301" customWidth="1"/>
    <col min="9731" max="9731" width="19.140625" style="301" customWidth="1"/>
    <col min="9732" max="9737" width="11.42578125" style="301" customWidth="1"/>
    <col min="9738" max="9738" width="3.85546875" style="301" customWidth="1"/>
    <col min="9739" max="9984" width="11.42578125" style="301" hidden="1"/>
    <col min="9985" max="9985" width="2.7109375" style="301" customWidth="1"/>
    <col min="9986" max="9986" width="13.7109375" style="301" customWidth="1"/>
    <col min="9987" max="9987" width="19.140625" style="301" customWidth="1"/>
    <col min="9988" max="9993" width="11.42578125" style="301" customWidth="1"/>
    <col min="9994" max="9994" width="3.85546875" style="301" customWidth="1"/>
    <col min="9995" max="10240" width="11.42578125" style="301" hidden="1"/>
    <col min="10241" max="10241" width="2.7109375" style="301" customWidth="1"/>
    <col min="10242" max="10242" width="13.7109375" style="301" customWidth="1"/>
    <col min="10243" max="10243" width="19.140625" style="301" customWidth="1"/>
    <col min="10244" max="10249" width="11.42578125" style="301" customWidth="1"/>
    <col min="10250" max="10250" width="3.85546875" style="301" customWidth="1"/>
    <col min="10251" max="10496" width="11.42578125" style="301" hidden="1"/>
    <col min="10497" max="10497" width="2.7109375" style="301" customWidth="1"/>
    <col min="10498" max="10498" width="13.7109375" style="301" customWidth="1"/>
    <col min="10499" max="10499" width="19.140625" style="301" customWidth="1"/>
    <col min="10500" max="10505" width="11.42578125" style="301" customWidth="1"/>
    <col min="10506" max="10506" width="3.85546875" style="301" customWidth="1"/>
    <col min="10507" max="10752" width="11.42578125" style="301" hidden="1"/>
    <col min="10753" max="10753" width="2.7109375" style="301" customWidth="1"/>
    <col min="10754" max="10754" width="13.7109375" style="301" customWidth="1"/>
    <col min="10755" max="10755" width="19.140625" style="301" customWidth="1"/>
    <col min="10756" max="10761" width="11.42578125" style="301" customWidth="1"/>
    <col min="10762" max="10762" width="3.85546875" style="301" customWidth="1"/>
    <col min="10763" max="11008" width="11.42578125" style="301" hidden="1"/>
    <col min="11009" max="11009" width="2.7109375" style="301" customWidth="1"/>
    <col min="11010" max="11010" width="13.7109375" style="301" customWidth="1"/>
    <col min="11011" max="11011" width="19.140625" style="301" customWidth="1"/>
    <col min="11012" max="11017" width="11.42578125" style="301" customWidth="1"/>
    <col min="11018" max="11018" width="3.85546875" style="301" customWidth="1"/>
    <col min="11019" max="11264" width="11.42578125" style="301" hidden="1"/>
    <col min="11265" max="11265" width="2.7109375" style="301" customWidth="1"/>
    <col min="11266" max="11266" width="13.7109375" style="301" customWidth="1"/>
    <col min="11267" max="11267" width="19.140625" style="301" customWidth="1"/>
    <col min="11268" max="11273" width="11.42578125" style="301" customWidth="1"/>
    <col min="11274" max="11274" width="3.85546875" style="301" customWidth="1"/>
    <col min="11275" max="11520" width="11.42578125" style="301" hidden="1"/>
    <col min="11521" max="11521" width="2.7109375" style="301" customWidth="1"/>
    <col min="11522" max="11522" width="13.7109375" style="301" customWidth="1"/>
    <col min="11523" max="11523" width="19.140625" style="301" customWidth="1"/>
    <col min="11524" max="11529" width="11.42578125" style="301" customWidth="1"/>
    <col min="11530" max="11530" width="3.85546875" style="301" customWidth="1"/>
    <col min="11531" max="11776" width="11.42578125" style="301" hidden="1"/>
    <col min="11777" max="11777" width="2.7109375" style="301" customWidth="1"/>
    <col min="11778" max="11778" width="13.7109375" style="301" customWidth="1"/>
    <col min="11779" max="11779" width="19.140625" style="301" customWidth="1"/>
    <col min="11780" max="11785" width="11.42578125" style="301" customWidth="1"/>
    <col min="11786" max="11786" width="3.85546875" style="301" customWidth="1"/>
    <col min="11787" max="12032" width="11.42578125" style="301" hidden="1"/>
    <col min="12033" max="12033" width="2.7109375" style="301" customWidth="1"/>
    <col min="12034" max="12034" width="13.7109375" style="301" customWidth="1"/>
    <col min="12035" max="12035" width="19.140625" style="301" customWidth="1"/>
    <col min="12036" max="12041" width="11.42578125" style="301" customWidth="1"/>
    <col min="12042" max="12042" width="3.85546875" style="301" customWidth="1"/>
    <col min="12043" max="12288" width="11.42578125" style="301" hidden="1"/>
    <col min="12289" max="12289" width="2.7109375" style="301" customWidth="1"/>
    <col min="12290" max="12290" width="13.7109375" style="301" customWidth="1"/>
    <col min="12291" max="12291" width="19.140625" style="301" customWidth="1"/>
    <col min="12292" max="12297" width="11.42578125" style="301" customWidth="1"/>
    <col min="12298" max="12298" width="3.85546875" style="301" customWidth="1"/>
    <col min="12299" max="12544" width="11.42578125" style="301" hidden="1"/>
    <col min="12545" max="12545" width="2.7109375" style="301" customWidth="1"/>
    <col min="12546" max="12546" width="13.7109375" style="301" customWidth="1"/>
    <col min="12547" max="12547" width="19.140625" style="301" customWidth="1"/>
    <col min="12548" max="12553" width="11.42578125" style="301" customWidth="1"/>
    <col min="12554" max="12554" width="3.85546875" style="301" customWidth="1"/>
    <col min="12555" max="12800" width="11.42578125" style="301" hidden="1"/>
    <col min="12801" max="12801" width="2.7109375" style="301" customWidth="1"/>
    <col min="12802" max="12802" width="13.7109375" style="301" customWidth="1"/>
    <col min="12803" max="12803" width="19.140625" style="301" customWidth="1"/>
    <col min="12804" max="12809" width="11.42578125" style="301" customWidth="1"/>
    <col min="12810" max="12810" width="3.85546875" style="301" customWidth="1"/>
    <col min="12811" max="13056" width="11.42578125" style="301" hidden="1"/>
    <col min="13057" max="13057" width="2.7109375" style="301" customWidth="1"/>
    <col min="13058" max="13058" width="13.7109375" style="301" customWidth="1"/>
    <col min="13059" max="13059" width="19.140625" style="301" customWidth="1"/>
    <col min="13060" max="13065" width="11.42578125" style="301" customWidth="1"/>
    <col min="13066" max="13066" width="3.85546875" style="301" customWidth="1"/>
    <col min="13067" max="13312" width="11.42578125" style="301" hidden="1"/>
    <col min="13313" max="13313" width="2.7109375" style="301" customWidth="1"/>
    <col min="13314" max="13314" width="13.7109375" style="301" customWidth="1"/>
    <col min="13315" max="13315" width="19.140625" style="301" customWidth="1"/>
    <col min="13316" max="13321" width="11.42578125" style="301" customWidth="1"/>
    <col min="13322" max="13322" width="3.85546875" style="301" customWidth="1"/>
    <col min="13323" max="13568" width="11.42578125" style="301" hidden="1"/>
    <col min="13569" max="13569" width="2.7109375" style="301" customWidth="1"/>
    <col min="13570" max="13570" width="13.7109375" style="301" customWidth="1"/>
    <col min="13571" max="13571" width="19.140625" style="301" customWidth="1"/>
    <col min="13572" max="13577" width="11.42578125" style="301" customWidth="1"/>
    <col min="13578" max="13578" width="3.85546875" style="301" customWidth="1"/>
    <col min="13579" max="13824" width="11.42578125" style="301" hidden="1"/>
    <col min="13825" max="13825" width="2.7109375" style="301" customWidth="1"/>
    <col min="13826" max="13826" width="13.7109375" style="301" customWidth="1"/>
    <col min="13827" max="13827" width="19.140625" style="301" customWidth="1"/>
    <col min="13828" max="13833" width="11.42578125" style="301" customWidth="1"/>
    <col min="13834" max="13834" width="3.85546875" style="301" customWidth="1"/>
    <col min="13835" max="14080" width="11.42578125" style="301" hidden="1"/>
    <col min="14081" max="14081" width="2.7109375" style="301" customWidth="1"/>
    <col min="14082" max="14082" width="13.7109375" style="301" customWidth="1"/>
    <col min="14083" max="14083" width="19.140625" style="301" customWidth="1"/>
    <col min="14084" max="14089" width="11.42578125" style="301" customWidth="1"/>
    <col min="14090" max="14090" width="3.85546875" style="301" customWidth="1"/>
    <col min="14091" max="14336" width="11.42578125" style="301" hidden="1"/>
    <col min="14337" max="14337" width="2.7109375" style="301" customWidth="1"/>
    <col min="14338" max="14338" width="13.7109375" style="301" customWidth="1"/>
    <col min="14339" max="14339" width="19.140625" style="301" customWidth="1"/>
    <col min="14340" max="14345" width="11.42578125" style="301" customWidth="1"/>
    <col min="14346" max="14346" width="3.85546875" style="301" customWidth="1"/>
    <col min="14347" max="14592" width="11.42578125" style="301" hidden="1"/>
    <col min="14593" max="14593" width="2.7109375" style="301" customWidth="1"/>
    <col min="14594" max="14594" width="13.7109375" style="301" customWidth="1"/>
    <col min="14595" max="14595" width="19.140625" style="301" customWidth="1"/>
    <col min="14596" max="14601" width="11.42578125" style="301" customWidth="1"/>
    <col min="14602" max="14602" width="3.85546875" style="301" customWidth="1"/>
    <col min="14603" max="14848" width="11.42578125" style="301" hidden="1"/>
    <col min="14849" max="14849" width="2.7109375" style="301" customWidth="1"/>
    <col min="14850" max="14850" width="13.7109375" style="301" customWidth="1"/>
    <col min="14851" max="14851" width="19.140625" style="301" customWidth="1"/>
    <col min="14852" max="14857" width="11.42578125" style="301" customWidth="1"/>
    <col min="14858" max="14858" width="3.85546875" style="301" customWidth="1"/>
    <col min="14859" max="15104" width="11.42578125" style="301" hidden="1"/>
    <col min="15105" max="15105" width="2.7109375" style="301" customWidth="1"/>
    <col min="15106" max="15106" width="13.7109375" style="301" customWidth="1"/>
    <col min="15107" max="15107" width="19.140625" style="301" customWidth="1"/>
    <col min="15108" max="15113" width="11.42578125" style="301" customWidth="1"/>
    <col min="15114" max="15114" width="3.85546875" style="301" customWidth="1"/>
    <col min="15115" max="15360" width="11.42578125" style="301" hidden="1"/>
    <col min="15361" max="15361" width="2.7109375" style="301" customWidth="1"/>
    <col min="15362" max="15362" width="13.7109375" style="301" customWidth="1"/>
    <col min="15363" max="15363" width="19.140625" style="301" customWidth="1"/>
    <col min="15364" max="15369" width="11.42578125" style="301" customWidth="1"/>
    <col min="15370" max="15370" width="3.85546875" style="301" customWidth="1"/>
    <col min="15371" max="15616" width="11.42578125" style="301" hidden="1"/>
    <col min="15617" max="15617" width="2.7109375" style="301" customWidth="1"/>
    <col min="15618" max="15618" width="13.7109375" style="301" customWidth="1"/>
    <col min="15619" max="15619" width="19.140625" style="301" customWidth="1"/>
    <col min="15620" max="15625" width="11.42578125" style="301" customWidth="1"/>
    <col min="15626" max="15626" width="3.85546875" style="301" customWidth="1"/>
    <col min="15627" max="15872" width="11.42578125" style="301" hidden="1"/>
    <col min="15873" max="15873" width="2.7109375" style="301" customWidth="1"/>
    <col min="15874" max="15874" width="13.7109375" style="301" customWidth="1"/>
    <col min="15875" max="15875" width="19.140625" style="301" customWidth="1"/>
    <col min="15876" max="15881" width="11.42578125" style="301" customWidth="1"/>
    <col min="15882" max="15882" width="3.85546875" style="301" customWidth="1"/>
    <col min="15883" max="16128" width="11.42578125" style="301" hidden="1"/>
    <col min="16129" max="16129" width="2.7109375" style="301" customWidth="1"/>
    <col min="16130" max="16130" width="13.7109375" style="301" customWidth="1"/>
    <col min="16131" max="16131" width="19.140625" style="301" customWidth="1"/>
    <col min="16132" max="16137" width="11.42578125" style="301" customWidth="1"/>
    <col min="16138" max="16138" width="3.85546875" style="301" customWidth="1"/>
    <col min="16139" max="16384" width="11.42578125" style="301" hidden="1"/>
  </cols>
  <sheetData>
    <row r="2" spans="2:9" ht="15">
      <c r="B2" s="628" t="s">
        <v>0</v>
      </c>
      <c r="C2" s="629"/>
      <c r="D2" s="629"/>
      <c r="E2" s="629"/>
      <c r="F2" s="629"/>
      <c r="G2" s="629"/>
      <c r="H2" s="629"/>
      <c r="I2" s="630"/>
    </row>
    <row r="3" spans="2:9" ht="15">
      <c r="B3" s="631" t="s">
        <v>4</v>
      </c>
      <c r="C3" s="632"/>
      <c r="D3" s="632"/>
      <c r="E3" s="632"/>
      <c r="F3" s="632"/>
      <c r="G3" s="632"/>
      <c r="H3" s="632"/>
      <c r="I3" s="633"/>
    </row>
    <row r="4" spans="2:9" ht="15">
      <c r="B4" s="634" t="s">
        <v>151</v>
      </c>
      <c r="C4" s="635"/>
      <c r="D4" s="635"/>
      <c r="E4" s="635"/>
      <c r="F4" s="635"/>
      <c r="G4" s="635"/>
      <c r="H4" s="635"/>
      <c r="I4" s="636"/>
    </row>
    <row r="5" spans="2:9" ht="15">
      <c r="B5" s="637" t="s">
        <v>417</v>
      </c>
      <c r="C5" s="638"/>
      <c r="D5" s="638"/>
      <c r="E5" s="638"/>
      <c r="F5" s="638"/>
      <c r="G5" s="638"/>
      <c r="H5" s="638"/>
      <c r="I5" s="639"/>
    </row>
    <row r="6" spans="2:9">
      <c r="B6" s="324"/>
      <c r="C6" s="324"/>
      <c r="D6" s="324"/>
      <c r="E6" s="324"/>
      <c r="F6" s="324"/>
      <c r="G6" s="324"/>
      <c r="H6" s="324"/>
      <c r="I6" s="324"/>
    </row>
    <row r="7" spans="2:9">
      <c r="B7" s="649" t="s">
        <v>337</v>
      </c>
      <c r="C7" s="657"/>
      <c r="D7" s="646" t="s">
        <v>338</v>
      </c>
      <c r="E7" s="647"/>
      <c r="F7" s="646" t="s">
        <v>339</v>
      </c>
      <c r="G7" s="647"/>
      <c r="H7" s="646" t="s">
        <v>340</v>
      </c>
      <c r="I7" s="648"/>
    </row>
    <row r="8" spans="2:9">
      <c r="B8" s="650"/>
      <c r="C8" s="660"/>
      <c r="D8" s="646" t="s">
        <v>341</v>
      </c>
      <c r="E8" s="647"/>
      <c r="F8" s="646" t="s">
        <v>342</v>
      </c>
      <c r="G8" s="647"/>
      <c r="H8" s="646" t="s">
        <v>343</v>
      </c>
      <c r="I8" s="648"/>
    </row>
    <row r="9" spans="2:9">
      <c r="B9" s="646" t="s">
        <v>344</v>
      </c>
      <c r="C9" s="647"/>
      <c r="D9" s="647"/>
      <c r="E9" s="647"/>
      <c r="F9" s="647"/>
      <c r="G9" s="647"/>
      <c r="H9" s="647"/>
      <c r="I9" s="648"/>
    </row>
    <row r="10" spans="2:9" ht="14.25" customHeight="1">
      <c r="B10" s="672" t="s">
        <v>124</v>
      </c>
      <c r="C10" s="673"/>
      <c r="D10" s="668"/>
      <c r="E10" s="668"/>
      <c r="F10" s="668"/>
      <c r="G10" s="668"/>
      <c r="H10" s="669">
        <f>IF(AND(D10&gt;=0,F10&gt;=0),(D10-F10),"-")</f>
        <v>0</v>
      </c>
      <c r="I10" s="669">
        <f>IF(AND(H10&gt;=0,G10&gt;=0),SUM(G10:H10),"-")</f>
        <v>0</v>
      </c>
    </row>
    <row r="11" spans="2:9" ht="14.25" customHeight="1">
      <c r="B11" s="667"/>
      <c r="C11" s="667"/>
      <c r="D11" s="668"/>
      <c r="E11" s="668"/>
      <c r="F11" s="668"/>
      <c r="G11" s="668"/>
      <c r="H11" s="669">
        <f t="shared" ref="H11:H18" si="0">IF(AND(D11&gt;=0,F11&gt;=0),(D11-F11),"-")</f>
        <v>0</v>
      </c>
      <c r="I11" s="669">
        <f t="shared" ref="I11:I18" si="1">IF(AND(H11&gt;=0,G11&gt;=0),SUM(G11:H11),"-")</f>
        <v>0</v>
      </c>
    </row>
    <row r="12" spans="2:9" ht="14.25" customHeight="1">
      <c r="B12" s="667"/>
      <c r="C12" s="667"/>
      <c r="D12" s="668"/>
      <c r="E12" s="668"/>
      <c r="F12" s="668"/>
      <c r="G12" s="668"/>
      <c r="H12" s="669">
        <f t="shared" si="0"/>
        <v>0</v>
      </c>
      <c r="I12" s="669">
        <f t="shared" si="1"/>
        <v>0</v>
      </c>
    </row>
    <row r="13" spans="2:9" ht="14.25" customHeight="1">
      <c r="B13" s="667"/>
      <c r="C13" s="667"/>
      <c r="D13" s="668"/>
      <c r="E13" s="668"/>
      <c r="F13" s="668"/>
      <c r="G13" s="668"/>
      <c r="H13" s="669">
        <f t="shared" si="0"/>
        <v>0</v>
      </c>
      <c r="I13" s="669">
        <f t="shared" si="1"/>
        <v>0</v>
      </c>
    </row>
    <row r="14" spans="2:9" ht="14.25" customHeight="1">
      <c r="B14" s="667"/>
      <c r="C14" s="667"/>
      <c r="D14" s="668"/>
      <c r="E14" s="668"/>
      <c r="F14" s="668"/>
      <c r="G14" s="668"/>
      <c r="H14" s="669">
        <f t="shared" si="0"/>
        <v>0</v>
      </c>
      <c r="I14" s="669">
        <f t="shared" si="1"/>
        <v>0</v>
      </c>
    </row>
    <row r="15" spans="2:9" ht="14.25" customHeight="1">
      <c r="B15" s="672"/>
      <c r="C15" s="673"/>
      <c r="D15" s="668"/>
      <c r="E15" s="668"/>
      <c r="F15" s="668"/>
      <c r="G15" s="668"/>
      <c r="H15" s="669">
        <f t="shared" si="0"/>
        <v>0</v>
      </c>
      <c r="I15" s="669">
        <f t="shared" si="1"/>
        <v>0</v>
      </c>
    </row>
    <row r="16" spans="2:9" ht="14.25" customHeight="1">
      <c r="B16" s="667"/>
      <c r="C16" s="667"/>
      <c r="D16" s="668"/>
      <c r="E16" s="668"/>
      <c r="F16" s="668"/>
      <c r="G16" s="668"/>
      <c r="H16" s="669">
        <f t="shared" si="0"/>
        <v>0</v>
      </c>
      <c r="I16" s="669">
        <f t="shared" si="1"/>
        <v>0</v>
      </c>
    </row>
    <row r="17" spans="2:9" ht="14.25" customHeight="1">
      <c r="B17" s="667"/>
      <c r="C17" s="667"/>
      <c r="D17" s="668"/>
      <c r="E17" s="668"/>
      <c r="F17" s="668"/>
      <c r="G17" s="668"/>
      <c r="H17" s="669">
        <f t="shared" si="0"/>
        <v>0</v>
      </c>
      <c r="I17" s="669">
        <f t="shared" si="1"/>
        <v>0</v>
      </c>
    </row>
    <row r="18" spans="2:9" ht="14.25" customHeight="1">
      <c r="B18" s="667"/>
      <c r="C18" s="667"/>
      <c r="D18" s="668"/>
      <c r="E18" s="668"/>
      <c r="F18" s="668"/>
      <c r="G18" s="668"/>
      <c r="H18" s="669">
        <f t="shared" si="0"/>
        <v>0</v>
      </c>
      <c r="I18" s="669">
        <f t="shared" si="1"/>
        <v>0</v>
      </c>
    </row>
    <row r="19" spans="2:9">
      <c r="B19" s="670" t="s">
        <v>345</v>
      </c>
      <c r="C19" s="670"/>
      <c r="D19" s="666">
        <f>SUM(D10:E18)</f>
        <v>0</v>
      </c>
      <c r="E19" s="666"/>
      <c r="F19" s="666">
        <f>SUM(F10:G18)</f>
        <v>0</v>
      </c>
      <c r="G19" s="666"/>
      <c r="H19" s="666">
        <f>SUM(H10:I18)</f>
        <v>0</v>
      </c>
      <c r="I19" s="666"/>
    </row>
    <row r="20" spans="2:9">
      <c r="B20" s="663"/>
      <c r="C20" s="663"/>
      <c r="D20" s="663"/>
      <c r="E20" s="663"/>
      <c r="F20" s="663"/>
      <c r="G20" s="663"/>
      <c r="H20" s="663"/>
      <c r="I20" s="663"/>
    </row>
    <row r="21" spans="2:9">
      <c r="B21" s="646" t="s">
        <v>346</v>
      </c>
      <c r="C21" s="647"/>
      <c r="D21" s="647"/>
      <c r="E21" s="647"/>
      <c r="F21" s="647"/>
      <c r="G21" s="647"/>
      <c r="H21" s="647"/>
      <c r="I21" s="648"/>
    </row>
    <row r="22" spans="2:9">
      <c r="B22" s="667"/>
      <c r="C22" s="667"/>
      <c r="D22" s="668"/>
      <c r="E22" s="668"/>
      <c r="F22" s="668"/>
      <c r="G22" s="668"/>
      <c r="H22" s="669">
        <f t="shared" ref="H22:H30" si="2">IF(AND(D22&gt;=0,F22&gt;=0),(D22-F22),"-")</f>
        <v>0</v>
      </c>
      <c r="I22" s="669">
        <f t="shared" ref="I22:I30" si="3">IF(AND(H22&gt;=0,G22&gt;=0),SUM(G22:H22),"-")</f>
        <v>0</v>
      </c>
    </row>
    <row r="23" spans="2:9">
      <c r="B23" s="667"/>
      <c r="C23" s="667"/>
      <c r="D23" s="668"/>
      <c r="E23" s="668"/>
      <c r="F23" s="668"/>
      <c r="G23" s="668"/>
      <c r="H23" s="669">
        <f>IF(AND(D23&gt;=0,F23&gt;=0),(D23-F23),"-")</f>
        <v>0</v>
      </c>
      <c r="I23" s="669">
        <f t="shared" si="3"/>
        <v>0</v>
      </c>
    </row>
    <row r="24" spans="2:9">
      <c r="B24" s="667"/>
      <c r="C24" s="667"/>
      <c r="D24" s="668"/>
      <c r="E24" s="668"/>
      <c r="F24" s="668"/>
      <c r="G24" s="668"/>
      <c r="H24" s="669">
        <f t="shared" si="2"/>
        <v>0</v>
      </c>
      <c r="I24" s="669">
        <f t="shared" si="3"/>
        <v>0</v>
      </c>
    </row>
    <row r="25" spans="2:9">
      <c r="B25" s="667"/>
      <c r="C25" s="667"/>
      <c r="D25" s="668"/>
      <c r="E25" s="668"/>
      <c r="F25" s="668"/>
      <c r="G25" s="668"/>
      <c r="H25" s="669">
        <f t="shared" si="2"/>
        <v>0</v>
      </c>
      <c r="I25" s="669">
        <f t="shared" si="3"/>
        <v>0</v>
      </c>
    </row>
    <row r="26" spans="2:9">
      <c r="B26" s="667"/>
      <c r="C26" s="667"/>
      <c r="D26" s="668"/>
      <c r="E26" s="668"/>
      <c r="F26" s="668"/>
      <c r="G26" s="668"/>
      <c r="H26" s="669">
        <f t="shared" si="2"/>
        <v>0</v>
      </c>
      <c r="I26" s="669">
        <f t="shared" si="3"/>
        <v>0</v>
      </c>
    </row>
    <row r="27" spans="2:9">
      <c r="B27" s="667"/>
      <c r="C27" s="667"/>
      <c r="D27" s="668"/>
      <c r="E27" s="668"/>
      <c r="F27" s="668"/>
      <c r="G27" s="668"/>
      <c r="H27" s="669">
        <f t="shared" si="2"/>
        <v>0</v>
      </c>
      <c r="I27" s="669">
        <f t="shared" si="3"/>
        <v>0</v>
      </c>
    </row>
    <row r="28" spans="2:9">
      <c r="B28" s="667"/>
      <c r="C28" s="667"/>
      <c r="D28" s="668"/>
      <c r="E28" s="668"/>
      <c r="F28" s="668"/>
      <c r="G28" s="668"/>
      <c r="H28" s="669">
        <f t="shared" si="2"/>
        <v>0</v>
      </c>
      <c r="I28" s="669">
        <f t="shared" si="3"/>
        <v>0</v>
      </c>
    </row>
    <row r="29" spans="2:9">
      <c r="B29" s="667"/>
      <c r="C29" s="667"/>
      <c r="D29" s="668"/>
      <c r="E29" s="668"/>
      <c r="F29" s="668"/>
      <c r="G29" s="668"/>
      <c r="H29" s="669">
        <f t="shared" si="2"/>
        <v>0</v>
      </c>
      <c r="I29" s="669">
        <f t="shared" si="3"/>
        <v>0</v>
      </c>
    </row>
    <row r="30" spans="2:9">
      <c r="B30" s="667"/>
      <c r="C30" s="667"/>
      <c r="D30" s="668"/>
      <c r="E30" s="668"/>
      <c r="F30" s="668"/>
      <c r="G30" s="668"/>
      <c r="H30" s="669">
        <f t="shared" si="2"/>
        <v>0</v>
      </c>
      <c r="I30" s="669">
        <f t="shared" si="3"/>
        <v>0</v>
      </c>
    </row>
    <row r="31" spans="2:9">
      <c r="B31" s="670" t="s">
        <v>347</v>
      </c>
      <c r="C31" s="670"/>
      <c r="D31" s="666">
        <f>SUM(D22:E30)</f>
        <v>0</v>
      </c>
      <c r="E31" s="666"/>
      <c r="F31" s="666">
        <f>SUM(F22:G30)</f>
        <v>0</v>
      </c>
      <c r="G31" s="666"/>
      <c r="H31" s="671">
        <f>SUM(H22:I30)</f>
        <v>0</v>
      </c>
      <c r="I31" s="671"/>
    </row>
    <row r="32" spans="2:9">
      <c r="B32" s="663"/>
      <c r="C32" s="663"/>
      <c r="D32" s="664"/>
      <c r="E32" s="664"/>
      <c r="F32" s="664"/>
      <c r="G32" s="664"/>
      <c r="H32" s="664"/>
      <c r="I32" s="664"/>
    </row>
    <row r="33" spans="2:9">
      <c r="B33" s="665" t="s">
        <v>128</v>
      </c>
      <c r="C33" s="665"/>
      <c r="D33" s="666">
        <f>SUM(D19,D31)</f>
        <v>0</v>
      </c>
      <c r="E33" s="666"/>
      <c r="F33" s="666">
        <f>SUM(F19,F31)</f>
        <v>0</v>
      </c>
      <c r="G33" s="666"/>
      <c r="H33" s="666">
        <f>SUM(H19,H31)</f>
        <v>0</v>
      </c>
      <c r="I33" s="666"/>
    </row>
    <row r="35" spans="2:9" hidden="1"/>
    <row r="36" spans="2:9" hidden="1"/>
    <row r="37" spans="2:9" hidden="1"/>
    <row r="38" spans="2:9" hidden="1"/>
    <row r="39" spans="2:9" hidden="1"/>
    <row r="40" spans="2:9" hidden="1"/>
    <row r="41" spans="2:9" hidden="1"/>
    <row r="42" spans="2:9" hidden="1"/>
    <row r="43" spans="2:9" hidden="1"/>
    <row r="44" spans="2:9" hidden="1"/>
    <row r="45" spans="2:9" hidden="1"/>
    <row r="46" spans="2:9" hidden="1"/>
    <row r="47" spans="2:9" hidden="1"/>
    <row r="48" spans="2:9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</sheetData>
  <mergeCells count="105">
    <mergeCell ref="B2:I2"/>
    <mergeCell ref="B3:I3"/>
    <mergeCell ref="B4:I4"/>
    <mergeCell ref="B5:I5"/>
    <mergeCell ref="B7:C8"/>
    <mergeCell ref="D7:E7"/>
    <mergeCell ref="F7:G7"/>
    <mergeCell ref="H7:I7"/>
    <mergeCell ref="D8:E8"/>
    <mergeCell ref="F8:G8"/>
    <mergeCell ref="B11:C11"/>
    <mergeCell ref="D11:E11"/>
    <mergeCell ref="F11:G11"/>
    <mergeCell ref="H11:I11"/>
    <mergeCell ref="B12:C12"/>
    <mergeCell ref="D12:E12"/>
    <mergeCell ref="F12:G12"/>
    <mergeCell ref="H12:I12"/>
    <mergeCell ref="H8:I8"/>
    <mergeCell ref="B9:I9"/>
    <mergeCell ref="B10:C10"/>
    <mergeCell ref="D10:E10"/>
    <mergeCell ref="F10:G10"/>
    <mergeCell ref="H10:I10"/>
    <mergeCell ref="B15:C15"/>
    <mergeCell ref="D15:E15"/>
    <mergeCell ref="F15:G15"/>
    <mergeCell ref="H15:I15"/>
    <mergeCell ref="B16:C16"/>
    <mergeCell ref="D16:E16"/>
    <mergeCell ref="F16:G16"/>
    <mergeCell ref="H16:I16"/>
    <mergeCell ref="B13:C13"/>
    <mergeCell ref="D13:E13"/>
    <mergeCell ref="F13:G13"/>
    <mergeCell ref="H13:I13"/>
    <mergeCell ref="B14:C14"/>
    <mergeCell ref="D14:E14"/>
    <mergeCell ref="F14:G14"/>
    <mergeCell ref="H14:I14"/>
    <mergeCell ref="B19:C19"/>
    <mergeCell ref="D19:E19"/>
    <mergeCell ref="F19:G19"/>
    <mergeCell ref="H19:I19"/>
    <mergeCell ref="B20:C20"/>
    <mergeCell ref="D20:E20"/>
    <mergeCell ref="F20:G20"/>
    <mergeCell ref="H20:I20"/>
    <mergeCell ref="B17:C17"/>
    <mergeCell ref="D17:E17"/>
    <mergeCell ref="F17:G17"/>
    <mergeCell ref="H17:I17"/>
    <mergeCell ref="B18:C18"/>
    <mergeCell ref="D18:E18"/>
    <mergeCell ref="F18:G18"/>
    <mergeCell ref="H18:I18"/>
    <mergeCell ref="B24:C24"/>
    <mergeCell ref="D24:E24"/>
    <mergeCell ref="F24:G24"/>
    <mergeCell ref="H24:I24"/>
    <mergeCell ref="B25:C25"/>
    <mergeCell ref="D25:E25"/>
    <mergeCell ref="F25:G25"/>
    <mergeCell ref="H25:I25"/>
    <mergeCell ref="B21:I21"/>
    <mergeCell ref="B22:C22"/>
    <mergeCell ref="D22:E22"/>
    <mergeCell ref="F22:G22"/>
    <mergeCell ref="H22:I22"/>
    <mergeCell ref="B23:C23"/>
    <mergeCell ref="D23:E23"/>
    <mergeCell ref="F23:G23"/>
    <mergeCell ref="H23:I23"/>
    <mergeCell ref="B28:C28"/>
    <mergeCell ref="D28:E28"/>
    <mergeCell ref="F28:G28"/>
    <mergeCell ref="H28:I28"/>
    <mergeCell ref="B29:C29"/>
    <mergeCell ref="D29:E29"/>
    <mergeCell ref="F29:G29"/>
    <mergeCell ref="H29:I29"/>
    <mergeCell ref="B26:C26"/>
    <mergeCell ref="D26:E26"/>
    <mergeCell ref="F26:G26"/>
    <mergeCell ref="H26:I26"/>
    <mergeCell ref="B27:C27"/>
    <mergeCell ref="D27:E27"/>
    <mergeCell ref="F27:G27"/>
    <mergeCell ref="H27:I27"/>
    <mergeCell ref="B32:C32"/>
    <mergeCell ref="D32:E32"/>
    <mergeCell ref="F32:G32"/>
    <mergeCell ref="H32:I32"/>
    <mergeCell ref="B33:C33"/>
    <mergeCell ref="D33:E33"/>
    <mergeCell ref="F33:G33"/>
    <mergeCell ref="H33:I33"/>
    <mergeCell ref="B30:C30"/>
    <mergeCell ref="D30:E30"/>
    <mergeCell ref="F30:G30"/>
    <mergeCell ref="H30:I30"/>
    <mergeCell ref="B31:C31"/>
    <mergeCell ref="D31:E31"/>
    <mergeCell ref="F31:G31"/>
    <mergeCell ref="H31:I31"/>
  </mergeCells>
  <pageMargins left="0.70866141732283472" right="0.70866141732283472" top="0.74803149606299213" bottom="0.74803149606299213" header="0.31496062992125984" footer="0.31496062992125984"/>
  <pageSetup orientation="landscape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2:IU65536"/>
  <sheetViews>
    <sheetView topLeftCell="A25" workbookViewId="0">
      <selection activeCell="F26" sqref="F26:G26"/>
    </sheetView>
  </sheetViews>
  <sheetFormatPr baseColWidth="10" defaultColWidth="2.7109375" defaultRowHeight="14.25"/>
  <cols>
    <col min="1" max="1" width="2.7109375" style="301" customWidth="1"/>
    <col min="2" max="2" width="11.42578125" style="301" customWidth="1"/>
    <col min="3" max="3" width="23.28515625" style="301" customWidth="1"/>
    <col min="4" max="7" width="11.42578125" style="301" customWidth="1"/>
    <col min="8" max="8" width="2.7109375" style="301" hidden="1" customWidth="1"/>
    <col min="9" max="255" width="11.42578125" style="301" hidden="1" customWidth="1"/>
    <col min="256" max="256" width="2.7109375" style="301"/>
    <col min="257" max="257" width="2.7109375" style="301" customWidth="1"/>
    <col min="258" max="258" width="11.42578125" style="301" customWidth="1"/>
    <col min="259" max="259" width="23.28515625" style="301" customWidth="1"/>
    <col min="260" max="263" width="11.42578125" style="301" customWidth="1"/>
    <col min="264" max="511" width="0" style="301" hidden="1" customWidth="1"/>
    <col min="512" max="512" width="2.7109375" style="301"/>
    <col min="513" max="513" width="2.7109375" style="301" customWidth="1"/>
    <col min="514" max="514" width="11.42578125" style="301" customWidth="1"/>
    <col min="515" max="515" width="23.28515625" style="301" customWidth="1"/>
    <col min="516" max="519" width="11.42578125" style="301" customWidth="1"/>
    <col min="520" max="767" width="0" style="301" hidden="1" customWidth="1"/>
    <col min="768" max="768" width="2.7109375" style="301"/>
    <col min="769" max="769" width="2.7109375" style="301" customWidth="1"/>
    <col min="770" max="770" width="11.42578125" style="301" customWidth="1"/>
    <col min="771" max="771" width="23.28515625" style="301" customWidth="1"/>
    <col min="772" max="775" width="11.42578125" style="301" customWidth="1"/>
    <col min="776" max="1023" width="0" style="301" hidden="1" customWidth="1"/>
    <col min="1024" max="1024" width="2.7109375" style="301"/>
    <col min="1025" max="1025" width="2.7109375" style="301" customWidth="1"/>
    <col min="1026" max="1026" width="11.42578125" style="301" customWidth="1"/>
    <col min="1027" max="1027" width="23.28515625" style="301" customWidth="1"/>
    <col min="1028" max="1031" width="11.42578125" style="301" customWidth="1"/>
    <col min="1032" max="1279" width="0" style="301" hidden="1" customWidth="1"/>
    <col min="1280" max="1280" width="2.7109375" style="301"/>
    <col min="1281" max="1281" width="2.7109375" style="301" customWidth="1"/>
    <col min="1282" max="1282" width="11.42578125" style="301" customWidth="1"/>
    <col min="1283" max="1283" width="23.28515625" style="301" customWidth="1"/>
    <col min="1284" max="1287" width="11.42578125" style="301" customWidth="1"/>
    <col min="1288" max="1535" width="0" style="301" hidden="1" customWidth="1"/>
    <col min="1536" max="1536" width="2.7109375" style="301"/>
    <col min="1537" max="1537" width="2.7109375" style="301" customWidth="1"/>
    <col min="1538" max="1538" width="11.42578125" style="301" customWidth="1"/>
    <col min="1539" max="1539" width="23.28515625" style="301" customWidth="1"/>
    <col min="1540" max="1543" width="11.42578125" style="301" customWidth="1"/>
    <col min="1544" max="1791" width="0" style="301" hidden="1" customWidth="1"/>
    <col min="1792" max="1792" width="2.7109375" style="301"/>
    <col min="1793" max="1793" width="2.7109375" style="301" customWidth="1"/>
    <col min="1794" max="1794" width="11.42578125" style="301" customWidth="1"/>
    <col min="1795" max="1795" width="23.28515625" style="301" customWidth="1"/>
    <col min="1796" max="1799" width="11.42578125" style="301" customWidth="1"/>
    <col min="1800" max="2047" width="0" style="301" hidden="1" customWidth="1"/>
    <col min="2048" max="2048" width="2.7109375" style="301"/>
    <col min="2049" max="2049" width="2.7109375" style="301" customWidth="1"/>
    <col min="2050" max="2050" width="11.42578125" style="301" customWidth="1"/>
    <col min="2051" max="2051" width="23.28515625" style="301" customWidth="1"/>
    <col min="2052" max="2055" width="11.42578125" style="301" customWidth="1"/>
    <col min="2056" max="2303" width="0" style="301" hidden="1" customWidth="1"/>
    <col min="2304" max="2304" width="2.7109375" style="301"/>
    <col min="2305" max="2305" width="2.7109375" style="301" customWidth="1"/>
    <col min="2306" max="2306" width="11.42578125" style="301" customWidth="1"/>
    <col min="2307" max="2307" width="23.28515625" style="301" customWidth="1"/>
    <col min="2308" max="2311" width="11.42578125" style="301" customWidth="1"/>
    <col min="2312" max="2559" width="0" style="301" hidden="1" customWidth="1"/>
    <col min="2560" max="2560" width="2.7109375" style="301"/>
    <col min="2561" max="2561" width="2.7109375" style="301" customWidth="1"/>
    <col min="2562" max="2562" width="11.42578125" style="301" customWidth="1"/>
    <col min="2563" max="2563" width="23.28515625" style="301" customWidth="1"/>
    <col min="2564" max="2567" width="11.42578125" style="301" customWidth="1"/>
    <col min="2568" max="2815" width="0" style="301" hidden="1" customWidth="1"/>
    <col min="2816" max="2816" width="2.7109375" style="301"/>
    <col min="2817" max="2817" width="2.7109375" style="301" customWidth="1"/>
    <col min="2818" max="2818" width="11.42578125" style="301" customWidth="1"/>
    <col min="2819" max="2819" width="23.28515625" style="301" customWidth="1"/>
    <col min="2820" max="2823" width="11.42578125" style="301" customWidth="1"/>
    <col min="2824" max="3071" width="0" style="301" hidden="1" customWidth="1"/>
    <col min="3072" max="3072" width="2.7109375" style="301"/>
    <col min="3073" max="3073" width="2.7109375" style="301" customWidth="1"/>
    <col min="3074" max="3074" width="11.42578125" style="301" customWidth="1"/>
    <col min="3075" max="3075" width="23.28515625" style="301" customWidth="1"/>
    <col min="3076" max="3079" width="11.42578125" style="301" customWidth="1"/>
    <col min="3080" max="3327" width="0" style="301" hidden="1" customWidth="1"/>
    <col min="3328" max="3328" width="2.7109375" style="301"/>
    <col min="3329" max="3329" width="2.7109375" style="301" customWidth="1"/>
    <col min="3330" max="3330" width="11.42578125" style="301" customWidth="1"/>
    <col min="3331" max="3331" width="23.28515625" style="301" customWidth="1"/>
    <col min="3332" max="3335" width="11.42578125" style="301" customWidth="1"/>
    <col min="3336" max="3583" width="0" style="301" hidden="1" customWidth="1"/>
    <col min="3584" max="3584" width="2.7109375" style="301"/>
    <col min="3585" max="3585" width="2.7109375" style="301" customWidth="1"/>
    <col min="3586" max="3586" width="11.42578125" style="301" customWidth="1"/>
    <col min="3587" max="3587" width="23.28515625" style="301" customWidth="1"/>
    <col min="3588" max="3591" width="11.42578125" style="301" customWidth="1"/>
    <col min="3592" max="3839" width="0" style="301" hidden="1" customWidth="1"/>
    <col min="3840" max="3840" width="2.7109375" style="301"/>
    <col min="3841" max="3841" width="2.7109375" style="301" customWidth="1"/>
    <col min="3842" max="3842" width="11.42578125" style="301" customWidth="1"/>
    <col min="3843" max="3843" width="23.28515625" style="301" customWidth="1"/>
    <col min="3844" max="3847" width="11.42578125" style="301" customWidth="1"/>
    <col min="3848" max="4095" width="0" style="301" hidden="1" customWidth="1"/>
    <col min="4096" max="4096" width="2.7109375" style="301"/>
    <col min="4097" max="4097" width="2.7109375" style="301" customWidth="1"/>
    <col min="4098" max="4098" width="11.42578125" style="301" customWidth="1"/>
    <col min="4099" max="4099" width="23.28515625" style="301" customWidth="1"/>
    <col min="4100" max="4103" width="11.42578125" style="301" customWidth="1"/>
    <col min="4104" max="4351" width="0" style="301" hidden="1" customWidth="1"/>
    <col min="4352" max="4352" width="2.7109375" style="301"/>
    <col min="4353" max="4353" width="2.7109375" style="301" customWidth="1"/>
    <col min="4354" max="4354" width="11.42578125" style="301" customWidth="1"/>
    <col min="4355" max="4355" width="23.28515625" style="301" customWidth="1"/>
    <col min="4356" max="4359" width="11.42578125" style="301" customWidth="1"/>
    <col min="4360" max="4607" width="0" style="301" hidden="1" customWidth="1"/>
    <col min="4608" max="4608" width="2.7109375" style="301"/>
    <col min="4609" max="4609" width="2.7109375" style="301" customWidth="1"/>
    <col min="4610" max="4610" width="11.42578125" style="301" customWidth="1"/>
    <col min="4611" max="4611" width="23.28515625" style="301" customWidth="1"/>
    <col min="4612" max="4615" width="11.42578125" style="301" customWidth="1"/>
    <col min="4616" max="4863" width="0" style="301" hidden="1" customWidth="1"/>
    <col min="4864" max="4864" width="2.7109375" style="301"/>
    <col min="4865" max="4865" width="2.7109375" style="301" customWidth="1"/>
    <col min="4866" max="4866" width="11.42578125" style="301" customWidth="1"/>
    <col min="4867" max="4867" width="23.28515625" style="301" customWidth="1"/>
    <col min="4868" max="4871" width="11.42578125" style="301" customWidth="1"/>
    <col min="4872" max="5119" width="0" style="301" hidden="1" customWidth="1"/>
    <col min="5120" max="5120" width="2.7109375" style="301"/>
    <col min="5121" max="5121" width="2.7109375" style="301" customWidth="1"/>
    <col min="5122" max="5122" width="11.42578125" style="301" customWidth="1"/>
    <col min="5123" max="5123" width="23.28515625" style="301" customWidth="1"/>
    <col min="5124" max="5127" width="11.42578125" style="301" customWidth="1"/>
    <col min="5128" max="5375" width="0" style="301" hidden="1" customWidth="1"/>
    <col min="5376" max="5376" width="2.7109375" style="301"/>
    <col min="5377" max="5377" width="2.7109375" style="301" customWidth="1"/>
    <col min="5378" max="5378" width="11.42578125" style="301" customWidth="1"/>
    <col min="5379" max="5379" width="23.28515625" style="301" customWidth="1"/>
    <col min="5380" max="5383" width="11.42578125" style="301" customWidth="1"/>
    <col min="5384" max="5631" width="0" style="301" hidden="1" customWidth="1"/>
    <col min="5632" max="5632" width="2.7109375" style="301"/>
    <col min="5633" max="5633" width="2.7109375" style="301" customWidth="1"/>
    <col min="5634" max="5634" width="11.42578125" style="301" customWidth="1"/>
    <col min="5635" max="5635" width="23.28515625" style="301" customWidth="1"/>
    <col min="5636" max="5639" width="11.42578125" style="301" customWidth="1"/>
    <col min="5640" max="5887" width="0" style="301" hidden="1" customWidth="1"/>
    <col min="5888" max="5888" width="2.7109375" style="301"/>
    <col min="5889" max="5889" width="2.7109375" style="301" customWidth="1"/>
    <col min="5890" max="5890" width="11.42578125" style="301" customWidth="1"/>
    <col min="5891" max="5891" width="23.28515625" style="301" customWidth="1"/>
    <col min="5892" max="5895" width="11.42578125" style="301" customWidth="1"/>
    <col min="5896" max="6143" width="0" style="301" hidden="1" customWidth="1"/>
    <col min="6144" max="6144" width="2.7109375" style="301"/>
    <col min="6145" max="6145" width="2.7109375" style="301" customWidth="1"/>
    <col min="6146" max="6146" width="11.42578125" style="301" customWidth="1"/>
    <col min="6147" max="6147" width="23.28515625" style="301" customWidth="1"/>
    <col min="6148" max="6151" width="11.42578125" style="301" customWidth="1"/>
    <col min="6152" max="6399" width="0" style="301" hidden="1" customWidth="1"/>
    <col min="6400" max="6400" width="2.7109375" style="301"/>
    <col min="6401" max="6401" width="2.7109375" style="301" customWidth="1"/>
    <col min="6402" max="6402" width="11.42578125" style="301" customWidth="1"/>
    <col min="6403" max="6403" width="23.28515625" style="301" customWidth="1"/>
    <col min="6404" max="6407" width="11.42578125" style="301" customWidth="1"/>
    <col min="6408" max="6655" width="0" style="301" hidden="1" customWidth="1"/>
    <col min="6656" max="6656" width="2.7109375" style="301"/>
    <col min="6657" max="6657" width="2.7109375" style="301" customWidth="1"/>
    <col min="6658" max="6658" width="11.42578125" style="301" customWidth="1"/>
    <col min="6659" max="6659" width="23.28515625" style="301" customWidth="1"/>
    <col min="6660" max="6663" width="11.42578125" style="301" customWidth="1"/>
    <col min="6664" max="6911" width="0" style="301" hidden="1" customWidth="1"/>
    <col min="6912" max="6912" width="2.7109375" style="301"/>
    <col min="6913" max="6913" width="2.7109375" style="301" customWidth="1"/>
    <col min="6914" max="6914" width="11.42578125" style="301" customWidth="1"/>
    <col min="6915" max="6915" width="23.28515625" style="301" customWidth="1"/>
    <col min="6916" max="6919" width="11.42578125" style="301" customWidth="1"/>
    <col min="6920" max="7167" width="0" style="301" hidden="1" customWidth="1"/>
    <col min="7168" max="7168" width="2.7109375" style="301"/>
    <col min="7169" max="7169" width="2.7109375" style="301" customWidth="1"/>
    <col min="7170" max="7170" width="11.42578125" style="301" customWidth="1"/>
    <col min="7171" max="7171" width="23.28515625" style="301" customWidth="1"/>
    <col min="7172" max="7175" width="11.42578125" style="301" customWidth="1"/>
    <col min="7176" max="7423" width="0" style="301" hidden="1" customWidth="1"/>
    <col min="7424" max="7424" width="2.7109375" style="301"/>
    <col min="7425" max="7425" width="2.7109375" style="301" customWidth="1"/>
    <col min="7426" max="7426" width="11.42578125" style="301" customWidth="1"/>
    <col min="7427" max="7427" width="23.28515625" style="301" customWidth="1"/>
    <col min="7428" max="7431" width="11.42578125" style="301" customWidth="1"/>
    <col min="7432" max="7679" width="0" style="301" hidden="1" customWidth="1"/>
    <col min="7680" max="7680" width="2.7109375" style="301"/>
    <col min="7681" max="7681" width="2.7109375" style="301" customWidth="1"/>
    <col min="7682" max="7682" width="11.42578125" style="301" customWidth="1"/>
    <col min="7683" max="7683" width="23.28515625" style="301" customWidth="1"/>
    <col min="7684" max="7687" width="11.42578125" style="301" customWidth="1"/>
    <col min="7688" max="7935" width="0" style="301" hidden="1" customWidth="1"/>
    <col min="7936" max="7936" width="2.7109375" style="301"/>
    <col min="7937" max="7937" width="2.7109375" style="301" customWidth="1"/>
    <col min="7938" max="7938" width="11.42578125" style="301" customWidth="1"/>
    <col min="7939" max="7939" width="23.28515625" style="301" customWidth="1"/>
    <col min="7940" max="7943" width="11.42578125" style="301" customWidth="1"/>
    <col min="7944" max="8191" width="0" style="301" hidden="1" customWidth="1"/>
    <col min="8192" max="8192" width="2.7109375" style="301"/>
    <col min="8193" max="8193" width="2.7109375" style="301" customWidth="1"/>
    <col min="8194" max="8194" width="11.42578125" style="301" customWidth="1"/>
    <col min="8195" max="8195" width="23.28515625" style="301" customWidth="1"/>
    <col min="8196" max="8199" width="11.42578125" style="301" customWidth="1"/>
    <col min="8200" max="8447" width="0" style="301" hidden="1" customWidth="1"/>
    <col min="8448" max="8448" width="2.7109375" style="301"/>
    <col min="8449" max="8449" width="2.7109375" style="301" customWidth="1"/>
    <col min="8450" max="8450" width="11.42578125" style="301" customWidth="1"/>
    <col min="8451" max="8451" width="23.28515625" style="301" customWidth="1"/>
    <col min="8452" max="8455" width="11.42578125" style="301" customWidth="1"/>
    <col min="8456" max="8703" width="0" style="301" hidden="1" customWidth="1"/>
    <col min="8704" max="8704" width="2.7109375" style="301"/>
    <col min="8705" max="8705" width="2.7109375" style="301" customWidth="1"/>
    <col min="8706" max="8706" width="11.42578125" style="301" customWidth="1"/>
    <col min="8707" max="8707" width="23.28515625" style="301" customWidth="1"/>
    <col min="8708" max="8711" width="11.42578125" style="301" customWidth="1"/>
    <col min="8712" max="8959" width="0" style="301" hidden="1" customWidth="1"/>
    <col min="8960" max="8960" width="2.7109375" style="301"/>
    <col min="8961" max="8961" width="2.7109375" style="301" customWidth="1"/>
    <col min="8962" max="8962" width="11.42578125" style="301" customWidth="1"/>
    <col min="8963" max="8963" width="23.28515625" style="301" customWidth="1"/>
    <col min="8964" max="8967" width="11.42578125" style="301" customWidth="1"/>
    <col min="8968" max="9215" width="0" style="301" hidden="1" customWidth="1"/>
    <col min="9216" max="9216" width="2.7109375" style="301"/>
    <col min="9217" max="9217" width="2.7109375" style="301" customWidth="1"/>
    <col min="9218" max="9218" width="11.42578125" style="301" customWidth="1"/>
    <col min="9219" max="9219" width="23.28515625" style="301" customWidth="1"/>
    <col min="9220" max="9223" width="11.42578125" style="301" customWidth="1"/>
    <col min="9224" max="9471" width="0" style="301" hidden="1" customWidth="1"/>
    <col min="9472" max="9472" width="2.7109375" style="301"/>
    <col min="9473" max="9473" width="2.7109375" style="301" customWidth="1"/>
    <col min="9474" max="9474" width="11.42578125" style="301" customWidth="1"/>
    <col min="9475" max="9475" width="23.28515625" style="301" customWidth="1"/>
    <col min="9476" max="9479" width="11.42578125" style="301" customWidth="1"/>
    <col min="9480" max="9727" width="0" style="301" hidden="1" customWidth="1"/>
    <col min="9728" max="9728" width="2.7109375" style="301"/>
    <col min="9729" max="9729" width="2.7109375" style="301" customWidth="1"/>
    <col min="9730" max="9730" width="11.42578125" style="301" customWidth="1"/>
    <col min="9731" max="9731" width="23.28515625" style="301" customWidth="1"/>
    <col min="9732" max="9735" width="11.42578125" style="301" customWidth="1"/>
    <col min="9736" max="9983" width="0" style="301" hidden="1" customWidth="1"/>
    <col min="9984" max="9984" width="2.7109375" style="301"/>
    <col min="9985" max="9985" width="2.7109375" style="301" customWidth="1"/>
    <col min="9986" max="9986" width="11.42578125" style="301" customWidth="1"/>
    <col min="9987" max="9987" width="23.28515625" style="301" customWidth="1"/>
    <col min="9988" max="9991" width="11.42578125" style="301" customWidth="1"/>
    <col min="9992" max="10239" width="0" style="301" hidden="1" customWidth="1"/>
    <col min="10240" max="10240" width="2.7109375" style="301"/>
    <col min="10241" max="10241" width="2.7109375" style="301" customWidth="1"/>
    <col min="10242" max="10242" width="11.42578125" style="301" customWidth="1"/>
    <col min="10243" max="10243" width="23.28515625" style="301" customWidth="1"/>
    <col min="10244" max="10247" width="11.42578125" style="301" customWidth="1"/>
    <col min="10248" max="10495" width="0" style="301" hidden="1" customWidth="1"/>
    <col min="10496" max="10496" width="2.7109375" style="301"/>
    <col min="10497" max="10497" width="2.7109375" style="301" customWidth="1"/>
    <col min="10498" max="10498" width="11.42578125" style="301" customWidth="1"/>
    <col min="10499" max="10499" width="23.28515625" style="301" customWidth="1"/>
    <col min="10500" max="10503" width="11.42578125" style="301" customWidth="1"/>
    <col min="10504" max="10751" width="0" style="301" hidden="1" customWidth="1"/>
    <col min="10752" max="10752" width="2.7109375" style="301"/>
    <col min="10753" max="10753" width="2.7109375" style="301" customWidth="1"/>
    <col min="10754" max="10754" width="11.42578125" style="301" customWidth="1"/>
    <col min="10755" max="10755" width="23.28515625" style="301" customWidth="1"/>
    <col min="10756" max="10759" width="11.42578125" style="301" customWidth="1"/>
    <col min="10760" max="11007" width="0" style="301" hidden="1" customWidth="1"/>
    <col min="11008" max="11008" width="2.7109375" style="301"/>
    <col min="11009" max="11009" width="2.7109375" style="301" customWidth="1"/>
    <col min="11010" max="11010" width="11.42578125" style="301" customWidth="1"/>
    <col min="11011" max="11011" width="23.28515625" style="301" customWidth="1"/>
    <col min="11012" max="11015" width="11.42578125" style="301" customWidth="1"/>
    <col min="11016" max="11263" width="0" style="301" hidden="1" customWidth="1"/>
    <col min="11264" max="11264" width="2.7109375" style="301"/>
    <col min="11265" max="11265" width="2.7109375" style="301" customWidth="1"/>
    <col min="11266" max="11266" width="11.42578125" style="301" customWidth="1"/>
    <col min="11267" max="11267" width="23.28515625" style="301" customWidth="1"/>
    <col min="11268" max="11271" width="11.42578125" style="301" customWidth="1"/>
    <col min="11272" max="11519" width="0" style="301" hidden="1" customWidth="1"/>
    <col min="11520" max="11520" width="2.7109375" style="301"/>
    <col min="11521" max="11521" width="2.7109375" style="301" customWidth="1"/>
    <col min="11522" max="11522" width="11.42578125" style="301" customWidth="1"/>
    <col min="11523" max="11523" width="23.28515625" style="301" customWidth="1"/>
    <col min="11524" max="11527" width="11.42578125" style="301" customWidth="1"/>
    <col min="11528" max="11775" width="0" style="301" hidden="1" customWidth="1"/>
    <col min="11776" max="11776" width="2.7109375" style="301"/>
    <col min="11777" max="11777" width="2.7109375" style="301" customWidth="1"/>
    <col min="11778" max="11778" width="11.42578125" style="301" customWidth="1"/>
    <col min="11779" max="11779" width="23.28515625" style="301" customWidth="1"/>
    <col min="11780" max="11783" width="11.42578125" style="301" customWidth="1"/>
    <col min="11784" max="12031" width="0" style="301" hidden="1" customWidth="1"/>
    <col min="12032" max="12032" width="2.7109375" style="301"/>
    <col min="12033" max="12033" width="2.7109375" style="301" customWidth="1"/>
    <col min="12034" max="12034" width="11.42578125" style="301" customWidth="1"/>
    <col min="12035" max="12035" width="23.28515625" style="301" customWidth="1"/>
    <col min="12036" max="12039" width="11.42578125" style="301" customWidth="1"/>
    <col min="12040" max="12287" width="0" style="301" hidden="1" customWidth="1"/>
    <col min="12288" max="12288" width="2.7109375" style="301"/>
    <col min="12289" max="12289" width="2.7109375" style="301" customWidth="1"/>
    <col min="12290" max="12290" width="11.42578125" style="301" customWidth="1"/>
    <col min="12291" max="12291" width="23.28515625" style="301" customWidth="1"/>
    <col min="12292" max="12295" width="11.42578125" style="301" customWidth="1"/>
    <col min="12296" max="12543" width="0" style="301" hidden="1" customWidth="1"/>
    <col min="12544" max="12544" width="2.7109375" style="301"/>
    <col min="12545" max="12545" width="2.7109375" style="301" customWidth="1"/>
    <col min="12546" max="12546" width="11.42578125" style="301" customWidth="1"/>
    <col min="12547" max="12547" width="23.28515625" style="301" customWidth="1"/>
    <col min="12548" max="12551" width="11.42578125" style="301" customWidth="1"/>
    <col min="12552" max="12799" width="0" style="301" hidden="1" customWidth="1"/>
    <col min="12800" max="12800" width="2.7109375" style="301"/>
    <col min="12801" max="12801" width="2.7109375" style="301" customWidth="1"/>
    <col min="12802" max="12802" width="11.42578125" style="301" customWidth="1"/>
    <col min="12803" max="12803" width="23.28515625" style="301" customWidth="1"/>
    <col min="12804" max="12807" width="11.42578125" style="301" customWidth="1"/>
    <col min="12808" max="13055" width="0" style="301" hidden="1" customWidth="1"/>
    <col min="13056" max="13056" width="2.7109375" style="301"/>
    <col min="13057" max="13057" width="2.7109375" style="301" customWidth="1"/>
    <col min="13058" max="13058" width="11.42578125" style="301" customWidth="1"/>
    <col min="13059" max="13059" width="23.28515625" style="301" customWidth="1"/>
    <col min="13060" max="13063" width="11.42578125" style="301" customWidth="1"/>
    <col min="13064" max="13311" width="0" style="301" hidden="1" customWidth="1"/>
    <col min="13312" max="13312" width="2.7109375" style="301"/>
    <col min="13313" max="13313" width="2.7109375" style="301" customWidth="1"/>
    <col min="13314" max="13314" width="11.42578125" style="301" customWidth="1"/>
    <col min="13315" max="13315" width="23.28515625" style="301" customWidth="1"/>
    <col min="13316" max="13319" width="11.42578125" style="301" customWidth="1"/>
    <col min="13320" max="13567" width="0" style="301" hidden="1" customWidth="1"/>
    <col min="13568" max="13568" width="2.7109375" style="301"/>
    <col min="13569" max="13569" width="2.7109375" style="301" customWidth="1"/>
    <col min="13570" max="13570" width="11.42578125" style="301" customWidth="1"/>
    <col min="13571" max="13571" width="23.28515625" style="301" customWidth="1"/>
    <col min="13572" max="13575" width="11.42578125" style="301" customWidth="1"/>
    <col min="13576" max="13823" width="0" style="301" hidden="1" customWidth="1"/>
    <col min="13824" max="13824" width="2.7109375" style="301"/>
    <col min="13825" max="13825" width="2.7109375" style="301" customWidth="1"/>
    <col min="13826" max="13826" width="11.42578125" style="301" customWidth="1"/>
    <col min="13827" max="13827" width="23.28515625" style="301" customWidth="1"/>
    <col min="13828" max="13831" width="11.42578125" style="301" customWidth="1"/>
    <col min="13832" max="14079" width="0" style="301" hidden="1" customWidth="1"/>
    <col min="14080" max="14080" width="2.7109375" style="301"/>
    <col min="14081" max="14081" width="2.7109375" style="301" customWidth="1"/>
    <col min="14082" max="14082" width="11.42578125" style="301" customWidth="1"/>
    <col min="14083" max="14083" width="23.28515625" style="301" customWidth="1"/>
    <col min="14084" max="14087" width="11.42578125" style="301" customWidth="1"/>
    <col min="14088" max="14335" width="0" style="301" hidden="1" customWidth="1"/>
    <col min="14336" max="14336" width="2.7109375" style="301"/>
    <col min="14337" max="14337" width="2.7109375" style="301" customWidth="1"/>
    <col min="14338" max="14338" width="11.42578125" style="301" customWidth="1"/>
    <col min="14339" max="14339" width="23.28515625" style="301" customWidth="1"/>
    <col min="14340" max="14343" width="11.42578125" style="301" customWidth="1"/>
    <col min="14344" max="14591" width="0" style="301" hidden="1" customWidth="1"/>
    <col min="14592" max="14592" width="2.7109375" style="301"/>
    <col min="14593" max="14593" width="2.7109375" style="301" customWidth="1"/>
    <col min="14594" max="14594" width="11.42578125" style="301" customWidth="1"/>
    <col min="14595" max="14595" width="23.28515625" style="301" customWidth="1"/>
    <col min="14596" max="14599" width="11.42578125" style="301" customWidth="1"/>
    <col min="14600" max="14847" width="0" style="301" hidden="1" customWidth="1"/>
    <col min="14848" max="14848" width="2.7109375" style="301"/>
    <col min="14849" max="14849" width="2.7109375" style="301" customWidth="1"/>
    <col min="14850" max="14850" width="11.42578125" style="301" customWidth="1"/>
    <col min="14851" max="14851" width="23.28515625" style="301" customWidth="1"/>
    <col min="14852" max="14855" width="11.42578125" style="301" customWidth="1"/>
    <col min="14856" max="15103" width="0" style="301" hidden="1" customWidth="1"/>
    <col min="15104" max="15104" width="2.7109375" style="301"/>
    <col min="15105" max="15105" width="2.7109375" style="301" customWidth="1"/>
    <col min="15106" max="15106" width="11.42578125" style="301" customWidth="1"/>
    <col min="15107" max="15107" width="23.28515625" style="301" customWidth="1"/>
    <col min="15108" max="15111" width="11.42578125" style="301" customWidth="1"/>
    <col min="15112" max="15359" width="0" style="301" hidden="1" customWidth="1"/>
    <col min="15360" max="15360" width="2.7109375" style="301"/>
    <col min="15361" max="15361" width="2.7109375" style="301" customWidth="1"/>
    <col min="15362" max="15362" width="11.42578125" style="301" customWidth="1"/>
    <col min="15363" max="15363" width="23.28515625" style="301" customWidth="1"/>
    <col min="15364" max="15367" width="11.42578125" style="301" customWidth="1"/>
    <col min="15368" max="15615" width="0" style="301" hidden="1" customWidth="1"/>
    <col min="15616" max="15616" width="2.7109375" style="301"/>
    <col min="15617" max="15617" width="2.7109375" style="301" customWidth="1"/>
    <col min="15618" max="15618" width="11.42578125" style="301" customWidth="1"/>
    <col min="15619" max="15619" width="23.28515625" style="301" customWidth="1"/>
    <col min="15620" max="15623" width="11.42578125" style="301" customWidth="1"/>
    <col min="15624" max="15871" width="0" style="301" hidden="1" customWidth="1"/>
    <col min="15872" max="15872" width="2.7109375" style="301"/>
    <col min="15873" max="15873" width="2.7109375" style="301" customWidth="1"/>
    <col min="15874" max="15874" width="11.42578125" style="301" customWidth="1"/>
    <col min="15875" max="15875" width="23.28515625" style="301" customWidth="1"/>
    <col min="15876" max="15879" width="11.42578125" style="301" customWidth="1"/>
    <col min="15880" max="16127" width="0" style="301" hidden="1" customWidth="1"/>
    <col min="16128" max="16128" width="2.7109375" style="301"/>
    <col min="16129" max="16129" width="2.7109375" style="301" customWidth="1"/>
    <col min="16130" max="16130" width="11.42578125" style="301" customWidth="1"/>
    <col min="16131" max="16131" width="23.28515625" style="301" customWidth="1"/>
    <col min="16132" max="16135" width="11.42578125" style="301" customWidth="1"/>
    <col min="16136" max="16383" width="0" style="301" hidden="1" customWidth="1"/>
    <col min="16384" max="16384" width="2.7109375" style="301"/>
  </cols>
  <sheetData>
    <row r="2" spans="2:12" ht="15">
      <c r="B2" s="635" t="s">
        <v>0</v>
      </c>
      <c r="C2" s="635"/>
      <c r="D2" s="635"/>
      <c r="E2" s="635"/>
      <c r="F2" s="635"/>
      <c r="G2" s="635"/>
    </row>
    <row r="3" spans="2:12" ht="15">
      <c r="B3" s="632" t="s">
        <v>4</v>
      </c>
      <c r="C3" s="632"/>
      <c r="D3" s="632"/>
      <c r="E3" s="632"/>
      <c r="F3" s="632"/>
      <c r="G3" s="632"/>
      <c r="J3" s="325"/>
      <c r="K3" s="325"/>
      <c r="L3" s="325"/>
    </row>
    <row r="4" spans="2:12" ht="15">
      <c r="B4" s="635" t="s">
        <v>348</v>
      </c>
      <c r="C4" s="635"/>
      <c r="D4" s="635"/>
      <c r="E4" s="635"/>
      <c r="F4" s="635"/>
      <c r="G4" s="635"/>
      <c r="J4" s="325"/>
      <c r="K4" s="325"/>
      <c r="L4" s="325"/>
    </row>
    <row r="5" spans="2:12" ht="15">
      <c r="B5" s="635" t="s">
        <v>200</v>
      </c>
      <c r="C5" s="635"/>
      <c r="D5" s="635"/>
      <c r="E5" s="635"/>
      <c r="F5" s="635"/>
      <c r="G5" s="635"/>
      <c r="J5" s="325"/>
      <c r="K5" s="325"/>
      <c r="L5" s="325"/>
    </row>
    <row r="6" spans="2:12">
      <c r="B6" s="326"/>
      <c r="C6" s="326"/>
      <c r="D6" s="326"/>
      <c r="E6" s="326"/>
      <c r="F6" s="326"/>
      <c r="G6" s="326"/>
    </row>
    <row r="7" spans="2:12">
      <c r="B7" s="674" t="s">
        <v>337</v>
      </c>
      <c r="C7" s="674"/>
      <c r="D7" s="674" t="s">
        <v>207</v>
      </c>
      <c r="E7" s="674"/>
      <c r="F7" s="674" t="s">
        <v>236</v>
      </c>
      <c r="G7" s="674"/>
    </row>
    <row r="8" spans="2:12">
      <c r="B8" s="674" t="s">
        <v>349</v>
      </c>
      <c r="C8" s="674"/>
      <c r="D8" s="674"/>
      <c r="E8" s="674"/>
      <c r="F8" s="674"/>
      <c r="G8" s="674"/>
    </row>
    <row r="9" spans="2:12">
      <c r="B9" s="667"/>
      <c r="C9" s="667"/>
      <c r="D9" s="668"/>
      <c r="E9" s="668"/>
      <c r="F9" s="668"/>
      <c r="G9" s="668"/>
    </row>
    <row r="10" spans="2:12">
      <c r="B10" s="667"/>
      <c r="C10" s="667"/>
      <c r="D10" s="668"/>
      <c r="E10" s="668"/>
      <c r="F10" s="668"/>
      <c r="G10" s="668"/>
    </row>
    <row r="11" spans="2:12">
      <c r="B11" s="667"/>
      <c r="C11" s="667"/>
      <c r="D11" s="668"/>
      <c r="E11" s="668"/>
      <c r="F11" s="668"/>
      <c r="G11" s="668"/>
    </row>
    <row r="12" spans="2:12">
      <c r="B12" s="667"/>
      <c r="C12" s="667"/>
      <c r="D12" s="668"/>
      <c r="E12" s="668"/>
      <c r="F12" s="668"/>
      <c r="G12" s="668"/>
    </row>
    <row r="13" spans="2:12">
      <c r="B13" s="667"/>
      <c r="C13" s="667"/>
      <c r="D13" s="668"/>
      <c r="E13" s="668"/>
      <c r="F13" s="668"/>
      <c r="G13" s="668"/>
    </row>
    <row r="14" spans="2:12">
      <c r="B14" s="667"/>
      <c r="C14" s="667"/>
      <c r="D14" s="668"/>
      <c r="E14" s="668"/>
      <c r="F14" s="668"/>
      <c r="G14" s="668"/>
    </row>
    <row r="15" spans="2:12">
      <c r="B15" s="667"/>
      <c r="C15" s="667"/>
      <c r="D15" s="668"/>
      <c r="E15" s="668"/>
      <c r="F15" s="668"/>
      <c r="G15" s="668"/>
    </row>
    <row r="16" spans="2:12">
      <c r="B16" s="667"/>
      <c r="C16" s="667"/>
      <c r="D16" s="668"/>
      <c r="E16" s="668"/>
      <c r="F16" s="668"/>
      <c r="G16" s="668"/>
    </row>
    <row r="17" spans="2:7">
      <c r="B17" s="667"/>
      <c r="C17" s="667"/>
      <c r="D17" s="668"/>
      <c r="E17" s="668"/>
      <c r="F17" s="668"/>
      <c r="G17" s="668"/>
    </row>
    <row r="18" spans="2:7">
      <c r="B18" s="670" t="s">
        <v>345</v>
      </c>
      <c r="C18" s="670"/>
      <c r="D18" s="666">
        <f>SUM(D9:E17)</f>
        <v>0</v>
      </c>
      <c r="E18" s="666"/>
      <c r="F18" s="666">
        <f>SUM(F9:G17)</f>
        <v>0</v>
      </c>
      <c r="G18" s="666"/>
    </row>
    <row r="19" spans="2:7">
      <c r="B19" s="663"/>
      <c r="C19" s="663"/>
      <c r="D19" s="663"/>
      <c r="E19" s="663"/>
      <c r="F19" s="663"/>
      <c r="G19" s="663"/>
    </row>
    <row r="20" spans="2:7">
      <c r="B20" s="674" t="s">
        <v>346</v>
      </c>
      <c r="C20" s="674"/>
      <c r="D20" s="674"/>
      <c r="E20" s="674"/>
      <c r="F20" s="674"/>
      <c r="G20" s="674"/>
    </row>
    <row r="21" spans="2:7">
      <c r="B21" s="667"/>
      <c r="C21" s="667"/>
      <c r="D21" s="668"/>
      <c r="E21" s="668"/>
      <c r="F21" s="668"/>
      <c r="G21" s="668"/>
    </row>
    <row r="22" spans="2:7">
      <c r="B22" s="667"/>
      <c r="C22" s="667"/>
      <c r="D22" s="668"/>
      <c r="E22" s="668"/>
      <c r="F22" s="668"/>
      <c r="G22" s="668"/>
    </row>
    <row r="23" spans="2:7">
      <c r="B23" s="667"/>
      <c r="C23" s="667"/>
      <c r="D23" s="668"/>
      <c r="E23" s="668"/>
      <c r="F23" s="668"/>
      <c r="G23" s="668"/>
    </row>
    <row r="24" spans="2:7">
      <c r="B24" s="667"/>
      <c r="C24" s="667"/>
      <c r="D24" s="668"/>
      <c r="E24" s="668"/>
      <c r="F24" s="668"/>
      <c r="G24" s="668"/>
    </row>
    <row r="25" spans="2:7">
      <c r="B25" s="667"/>
      <c r="C25" s="667"/>
      <c r="D25" s="668"/>
      <c r="E25" s="668"/>
      <c r="F25" s="668"/>
      <c r="G25" s="668"/>
    </row>
    <row r="26" spans="2:7">
      <c r="B26" s="667"/>
      <c r="C26" s="667"/>
      <c r="D26" s="668"/>
      <c r="E26" s="668"/>
      <c r="F26" s="668"/>
      <c r="G26" s="668"/>
    </row>
    <row r="27" spans="2:7">
      <c r="B27" s="667"/>
      <c r="C27" s="667"/>
      <c r="D27" s="668"/>
      <c r="E27" s="668"/>
      <c r="F27" s="668"/>
      <c r="G27" s="668"/>
    </row>
    <row r="28" spans="2:7">
      <c r="B28" s="667"/>
      <c r="C28" s="667"/>
      <c r="D28" s="668"/>
      <c r="E28" s="668"/>
      <c r="F28" s="668"/>
      <c r="G28" s="668"/>
    </row>
    <row r="29" spans="2:7">
      <c r="B29" s="667"/>
      <c r="C29" s="667"/>
      <c r="D29" s="668"/>
      <c r="E29" s="668"/>
      <c r="F29" s="668"/>
      <c r="G29" s="668"/>
    </row>
    <row r="30" spans="2:7">
      <c r="B30" s="670" t="s">
        <v>347</v>
      </c>
      <c r="C30" s="670"/>
      <c r="D30" s="666">
        <f>SUM(D21:E29)</f>
        <v>0</v>
      </c>
      <c r="E30" s="666"/>
      <c r="F30" s="666">
        <f>SUM(F21:G29)</f>
        <v>0</v>
      </c>
      <c r="G30" s="666"/>
    </row>
    <row r="31" spans="2:7">
      <c r="B31" s="663"/>
      <c r="C31" s="663"/>
      <c r="D31" s="664"/>
      <c r="E31" s="664"/>
      <c r="F31" s="664"/>
      <c r="G31" s="664"/>
    </row>
    <row r="32" spans="2:7">
      <c r="B32" s="665" t="s">
        <v>128</v>
      </c>
      <c r="C32" s="665"/>
      <c r="D32" s="666">
        <f>D30+D18</f>
        <v>0</v>
      </c>
      <c r="E32" s="666"/>
      <c r="F32" s="666">
        <f>F30+F18</f>
        <v>0</v>
      </c>
      <c r="G32" s="666"/>
    </row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mergeCells count="78">
    <mergeCell ref="B2:G2"/>
    <mergeCell ref="B3:G3"/>
    <mergeCell ref="B4:G4"/>
    <mergeCell ref="B5:G5"/>
    <mergeCell ref="B7:C7"/>
    <mergeCell ref="D7:E7"/>
    <mergeCell ref="F7:G7"/>
    <mergeCell ref="B8:G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B14:C14"/>
    <mergeCell ref="D14:E14"/>
    <mergeCell ref="F14:G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G20"/>
    <mergeCell ref="B21:C21"/>
    <mergeCell ref="D21:E21"/>
    <mergeCell ref="F21:G21"/>
    <mergeCell ref="B22:C22"/>
    <mergeCell ref="D22:E22"/>
    <mergeCell ref="F22:G22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2:C32"/>
    <mergeCell ref="D32:E32"/>
    <mergeCell ref="F32:G32"/>
    <mergeCell ref="B30:C30"/>
    <mergeCell ref="D30:E30"/>
    <mergeCell ref="F30:G30"/>
    <mergeCell ref="B31:C31"/>
    <mergeCell ref="D31:E31"/>
    <mergeCell ref="F31:G31"/>
  </mergeCells>
  <pageMargins left="0.70866141732283472" right="0.70866141732283472" top="0.74803149606299213" bottom="0.74803149606299213" header="0.31496062992125984" footer="0.31496062992125984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E35"/>
  <sheetViews>
    <sheetView workbookViewId="0">
      <selection activeCell="D36" sqref="D36"/>
    </sheetView>
  </sheetViews>
  <sheetFormatPr baseColWidth="10" defaultRowHeight="12"/>
  <cols>
    <col min="1" max="1" width="5.5703125" style="327" customWidth="1"/>
    <col min="2" max="2" width="49.7109375" style="327" customWidth="1"/>
    <col min="3" max="256" width="11.42578125" style="327"/>
    <col min="257" max="257" width="5.5703125" style="327" customWidth="1"/>
    <col min="258" max="258" width="49.7109375" style="327" customWidth="1"/>
    <col min="259" max="512" width="11.42578125" style="327"/>
    <col min="513" max="513" width="5.5703125" style="327" customWidth="1"/>
    <col min="514" max="514" width="49.7109375" style="327" customWidth="1"/>
    <col min="515" max="768" width="11.42578125" style="327"/>
    <col min="769" max="769" width="5.5703125" style="327" customWidth="1"/>
    <col min="770" max="770" width="49.7109375" style="327" customWidth="1"/>
    <col min="771" max="1024" width="11.42578125" style="327"/>
    <col min="1025" max="1025" width="5.5703125" style="327" customWidth="1"/>
    <col min="1026" max="1026" width="49.7109375" style="327" customWidth="1"/>
    <col min="1027" max="1280" width="11.42578125" style="327"/>
    <col min="1281" max="1281" width="5.5703125" style="327" customWidth="1"/>
    <col min="1282" max="1282" width="49.7109375" style="327" customWidth="1"/>
    <col min="1283" max="1536" width="11.42578125" style="327"/>
    <col min="1537" max="1537" width="5.5703125" style="327" customWidth="1"/>
    <col min="1538" max="1538" width="49.7109375" style="327" customWidth="1"/>
    <col min="1539" max="1792" width="11.42578125" style="327"/>
    <col min="1793" max="1793" width="5.5703125" style="327" customWidth="1"/>
    <col min="1794" max="1794" width="49.7109375" style="327" customWidth="1"/>
    <col min="1795" max="2048" width="11.42578125" style="327"/>
    <col min="2049" max="2049" width="5.5703125" style="327" customWidth="1"/>
    <col min="2050" max="2050" width="49.7109375" style="327" customWidth="1"/>
    <col min="2051" max="2304" width="11.42578125" style="327"/>
    <col min="2305" max="2305" width="5.5703125" style="327" customWidth="1"/>
    <col min="2306" max="2306" width="49.7109375" style="327" customWidth="1"/>
    <col min="2307" max="2560" width="11.42578125" style="327"/>
    <col min="2561" max="2561" width="5.5703125" style="327" customWidth="1"/>
    <col min="2562" max="2562" width="49.7109375" style="327" customWidth="1"/>
    <col min="2563" max="2816" width="11.42578125" style="327"/>
    <col min="2817" max="2817" width="5.5703125" style="327" customWidth="1"/>
    <col min="2818" max="2818" width="49.7109375" style="327" customWidth="1"/>
    <col min="2819" max="3072" width="11.42578125" style="327"/>
    <col min="3073" max="3073" width="5.5703125" style="327" customWidth="1"/>
    <col min="3074" max="3074" width="49.7109375" style="327" customWidth="1"/>
    <col min="3075" max="3328" width="11.42578125" style="327"/>
    <col min="3329" max="3329" width="5.5703125" style="327" customWidth="1"/>
    <col min="3330" max="3330" width="49.7109375" style="327" customWidth="1"/>
    <col min="3331" max="3584" width="11.42578125" style="327"/>
    <col min="3585" max="3585" width="5.5703125" style="327" customWidth="1"/>
    <col min="3586" max="3586" width="49.7109375" style="327" customWidth="1"/>
    <col min="3587" max="3840" width="11.42578125" style="327"/>
    <col min="3841" max="3841" width="5.5703125" style="327" customWidth="1"/>
    <col min="3842" max="3842" width="49.7109375" style="327" customWidth="1"/>
    <col min="3843" max="4096" width="11.42578125" style="327"/>
    <col min="4097" max="4097" width="5.5703125" style="327" customWidth="1"/>
    <col min="4098" max="4098" width="49.7109375" style="327" customWidth="1"/>
    <col min="4099" max="4352" width="11.42578125" style="327"/>
    <col min="4353" max="4353" width="5.5703125" style="327" customWidth="1"/>
    <col min="4354" max="4354" width="49.7109375" style="327" customWidth="1"/>
    <col min="4355" max="4608" width="11.42578125" style="327"/>
    <col min="4609" max="4609" width="5.5703125" style="327" customWidth="1"/>
    <col min="4610" max="4610" width="49.7109375" style="327" customWidth="1"/>
    <col min="4611" max="4864" width="11.42578125" style="327"/>
    <col min="4865" max="4865" width="5.5703125" style="327" customWidth="1"/>
    <col min="4866" max="4866" width="49.7109375" style="327" customWidth="1"/>
    <col min="4867" max="5120" width="11.42578125" style="327"/>
    <col min="5121" max="5121" width="5.5703125" style="327" customWidth="1"/>
    <col min="5122" max="5122" width="49.7109375" style="327" customWidth="1"/>
    <col min="5123" max="5376" width="11.42578125" style="327"/>
    <col min="5377" max="5377" width="5.5703125" style="327" customWidth="1"/>
    <col min="5378" max="5378" width="49.7109375" style="327" customWidth="1"/>
    <col min="5379" max="5632" width="11.42578125" style="327"/>
    <col min="5633" max="5633" width="5.5703125" style="327" customWidth="1"/>
    <col min="5634" max="5634" width="49.7109375" style="327" customWidth="1"/>
    <col min="5635" max="5888" width="11.42578125" style="327"/>
    <col min="5889" max="5889" width="5.5703125" style="327" customWidth="1"/>
    <col min="5890" max="5890" width="49.7109375" style="327" customWidth="1"/>
    <col min="5891" max="6144" width="11.42578125" style="327"/>
    <col min="6145" max="6145" width="5.5703125" style="327" customWidth="1"/>
    <col min="6146" max="6146" width="49.7109375" style="327" customWidth="1"/>
    <col min="6147" max="6400" width="11.42578125" style="327"/>
    <col min="6401" max="6401" width="5.5703125" style="327" customWidth="1"/>
    <col min="6402" max="6402" width="49.7109375" style="327" customWidth="1"/>
    <col min="6403" max="6656" width="11.42578125" style="327"/>
    <col min="6657" max="6657" width="5.5703125" style="327" customWidth="1"/>
    <col min="6658" max="6658" width="49.7109375" style="327" customWidth="1"/>
    <col min="6659" max="6912" width="11.42578125" style="327"/>
    <col min="6913" max="6913" width="5.5703125" style="327" customWidth="1"/>
    <col min="6914" max="6914" width="49.7109375" style="327" customWidth="1"/>
    <col min="6915" max="7168" width="11.42578125" style="327"/>
    <col min="7169" max="7169" width="5.5703125" style="327" customWidth="1"/>
    <col min="7170" max="7170" width="49.7109375" style="327" customWidth="1"/>
    <col min="7171" max="7424" width="11.42578125" style="327"/>
    <col min="7425" max="7425" width="5.5703125" style="327" customWidth="1"/>
    <col min="7426" max="7426" width="49.7109375" style="327" customWidth="1"/>
    <col min="7427" max="7680" width="11.42578125" style="327"/>
    <col min="7681" max="7681" width="5.5703125" style="327" customWidth="1"/>
    <col min="7682" max="7682" width="49.7109375" style="327" customWidth="1"/>
    <col min="7683" max="7936" width="11.42578125" style="327"/>
    <col min="7937" max="7937" width="5.5703125" style="327" customWidth="1"/>
    <col min="7938" max="7938" width="49.7109375" style="327" customWidth="1"/>
    <col min="7939" max="8192" width="11.42578125" style="327"/>
    <col min="8193" max="8193" width="5.5703125" style="327" customWidth="1"/>
    <col min="8194" max="8194" width="49.7109375" style="327" customWidth="1"/>
    <col min="8195" max="8448" width="11.42578125" style="327"/>
    <col min="8449" max="8449" width="5.5703125" style="327" customWidth="1"/>
    <col min="8450" max="8450" width="49.7109375" style="327" customWidth="1"/>
    <col min="8451" max="8704" width="11.42578125" style="327"/>
    <col min="8705" max="8705" width="5.5703125" style="327" customWidth="1"/>
    <col min="8706" max="8706" width="49.7109375" style="327" customWidth="1"/>
    <col min="8707" max="8960" width="11.42578125" style="327"/>
    <col min="8961" max="8961" width="5.5703125" style="327" customWidth="1"/>
    <col min="8962" max="8962" width="49.7109375" style="327" customWidth="1"/>
    <col min="8963" max="9216" width="11.42578125" style="327"/>
    <col min="9217" max="9217" width="5.5703125" style="327" customWidth="1"/>
    <col min="9218" max="9218" width="49.7109375" style="327" customWidth="1"/>
    <col min="9219" max="9472" width="11.42578125" style="327"/>
    <col min="9473" max="9473" width="5.5703125" style="327" customWidth="1"/>
    <col min="9474" max="9474" width="49.7109375" style="327" customWidth="1"/>
    <col min="9475" max="9728" width="11.42578125" style="327"/>
    <col min="9729" max="9729" width="5.5703125" style="327" customWidth="1"/>
    <col min="9730" max="9730" width="49.7109375" style="327" customWidth="1"/>
    <col min="9731" max="9984" width="11.42578125" style="327"/>
    <col min="9985" max="9985" width="5.5703125" style="327" customWidth="1"/>
    <col min="9986" max="9986" width="49.7109375" style="327" customWidth="1"/>
    <col min="9987" max="10240" width="11.42578125" style="327"/>
    <col min="10241" max="10241" width="5.5703125" style="327" customWidth="1"/>
    <col min="10242" max="10242" width="49.7109375" style="327" customWidth="1"/>
    <col min="10243" max="10496" width="11.42578125" style="327"/>
    <col min="10497" max="10497" width="5.5703125" style="327" customWidth="1"/>
    <col min="10498" max="10498" width="49.7109375" style="327" customWidth="1"/>
    <col min="10499" max="10752" width="11.42578125" style="327"/>
    <col min="10753" max="10753" width="5.5703125" style="327" customWidth="1"/>
    <col min="10754" max="10754" width="49.7109375" style="327" customWidth="1"/>
    <col min="10755" max="11008" width="11.42578125" style="327"/>
    <col min="11009" max="11009" width="5.5703125" style="327" customWidth="1"/>
    <col min="11010" max="11010" width="49.7109375" style="327" customWidth="1"/>
    <col min="11011" max="11264" width="11.42578125" style="327"/>
    <col min="11265" max="11265" width="5.5703125" style="327" customWidth="1"/>
    <col min="11266" max="11266" width="49.7109375" style="327" customWidth="1"/>
    <col min="11267" max="11520" width="11.42578125" style="327"/>
    <col min="11521" max="11521" width="5.5703125" style="327" customWidth="1"/>
    <col min="11522" max="11522" width="49.7109375" style="327" customWidth="1"/>
    <col min="11523" max="11776" width="11.42578125" style="327"/>
    <col min="11777" max="11777" width="5.5703125" style="327" customWidth="1"/>
    <col min="11778" max="11778" width="49.7109375" style="327" customWidth="1"/>
    <col min="11779" max="12032" width="11.42578125" style="327"/>
    <col min="12033" max="12033" width="5.5703125" style="327" customWidth="1"/>
    <col min="12034" max="12034" width="49.7109375" style="327" customWidth="1"/>
    <col min="12035" max="12288" width="11.42578125" style="327"/>
    <col min="12289" max="12289" width="5.5703125" style="327" customWidth="1"/>
    <col min="12290" max="12290" width="49.7109375" style="327" customWidth="1"/>
    <col min="12291" max="12544" width="11.42578125" style="327"/>
    <col min="12545" max="12545" width="5.5703125" style="327" customWidth="1"/>
    <col min="12546" max="12546" width="49.7109375" style="327" customWidth="1"/>
    <col min="12547" max="12800" width="11.42578125" style="327"/>
    <col min="12801" max="12801" width="5.5703125" style="327" customWidth="1"/>
    <col min="12802" max="12802" width="49.7109375" style="327" customWidth="1"/>
    <col min="12803" max="13056" width="11.42578125" style="327"/>
    <col min="13057" max="13057" width="5.5703125" style="327" customWidth="1"/>
    <col min="13058" max="13058" width="49.7109375" style="327" customWidth="1"/>
    <col min="13059" max="13312" width="11.42578125" style="327"/>
    <col min="13313" max="13313" width="5.5703125" style="327" customWidth="1"/>
    <col min="13314" max="13314" width="49.7109375" style="327" customWidth="1"/>
    <col min="13315" max="13568" width="11.42578125" style="327"/>
    <col min="13569" max="13569" width="5.5703125" style="327" customWidth="1"/>
    <col min="13570" max="13570" width="49.7109375" style="327" customWidth="1"/>
    <col min="13571" max="13824" width="11.42578125" style="327"/>
    <col min="13825" max="13825" width="5.5703125" style="327" customWidth="1"/>
    <col min="13826" max="13826" width="49.7109375" style="327" customWidth="1"/>
    <col min="13827" max="14080" width="11.42578125" style="327"/>
    <col min="14081" max="14081" width="5.5703125" style="327" customWidth="1"/>
    <col min="14082" max="14082" width="49.7109375" style="327" customWidth="1"/>
    <col min="14083" max="14336" width="11.42578125" style="327"/>
    <col min="14337" max="14337" width="5.5703125" style="327" customWidth="1"/>
    <col min="14338" max="14338" width="49.7109375" style="327" customWidth="1"/>
    <col min="14339" max="14592" width="11.42578125" style="327"/>
    <col min="14593" max="14593" width="5.5703125" style="327" customWidth="1"/>
    <col min="14594" max="14594" width="49.7109375" style="327" customWidth="1"/>
    <col min="14595" max="14848" width="11.42578125" style="327"/>
    <col min="14849" max="14849" width="5.5703125" style="327" customWidth="1"/>
    <col min="14850" max="14850" width="49.7109375" style="327" customWidth="1"/>
    <col min="14851" max="15104" width="11.42578125" style="327"/>
    <col min="15105" max="15105" width="5.5703125" style="327" customWidth="1"/>
    <col min="15106" max="15106" width="49.7109375" style="327" customWidth="1"/>
    <col min="15107" max="15360" width="11.42578125" style="327"/>
    <col min="15361" max="15361" width="5.5703125" style="327" customWidth="1"/>
    <col min="15362" max="15362" width="49.7109375" style="327" customWidth="1"/>
    <col min="15363" max="15616" width="11.42578125" style="327"/>
    <col min="15617" max="15617" width="5.5703125" style="327" customWidth="1"/>
    <col min="15618" max="15618" width="49.7109375" style="327" customWidth="1"/>
    <col min="15619" max="15872" width="11.42578125" style="327"/>
    <col min="15873" max="15873" width="5.5703125" style="327" customWidth="1"/>
    <col min="15874" max="15874" width="49.7109375" style="327" customWidth="1"/>
    <col min="15875" max="16128" width="11.42578125" style="327"/>
    <col min="16129" max="16129" width="5.5703125" style="327" customWidth="1"/>
    <col min="16130" max="16130" width="49.7109375" style="327" customWidth="1"/>
    <col min="16131" max="16384" width="11.42578125" style="327"/>
  </cols>
  <sheetData>
    <row r="1" spans="1:5">
      <c r="A1" s="680" t="s">
        <v>350</v>
      </c>
      <c r="B1" s="680"/>
      <c r="C1" s="680"/>
      <c r="D1" s="680"/>
      <c r="E1" s="680"/>
    </row>
    <row r="2" spans="1:5">
      <c r="A2" s="681" t="s">
        <v>351</v>
      </c>
      <c r="B2" s="681"/>
      <c r="C2" s="681"/>
      <c r="D2" s="681"/>
      <c r="E2" s="681"/>
    </row>
    <row r="3" spans="1:5">
      <c r="A3" s="681" t="s">
        <v>418</v>
      </c>
      <c r="B3" s="681"/>
      <c r="C3" s="681"/>
      <c r="D3" s="681"/>
      <c r="E3" s="681"/>
    </row>
    <row r="4" spans="1:5">
      <c r="A4" s="125"/>
      <c r="B4" s="125"/>
      <c r="C4" s="125"/>
      <c r="D4" s="125"/>
      <c r="E4" s="125"/>
    </row>
    <row r="5" spans="1:5" ht="13.5">
      <c r="A5" s="678" t="s">
        <v>67</v>
      </c>
      <c r="B5" s="679"/>
      <c r="C5" s="328" t="s">
        <v>204</v>
      </c>
      <c r="D5" s="328" t="s">
        <v>207</v>
      </c>
      <c r="E5" s="328" t="s">
        <v>352</v>
      </c>
    </row>
    <row r="6" spans="1:5" ht="12.75" thickBot="1">
      <c r="A6" s="329"/>
      <c r="B6" s="330"/>
      <c r="C6" s="331"/>
      <c r="D6" s="331"/>
      <c r="E6" s="331"/>
    </row>
    <row r="7" spans="1:5" ht="12.75" thickBot="1">
      <c r="A7" s="682" t="s">
        <v>353</v>
      </c>
      <c r="B7" s="683"/>
      <c r="C7" s="332">
        <v>27688761</v>
      </c>
      <c r="D7" s="332">
        <v>32805733</v>
      </c>
      <c r="E7" s="332">
        <v>32603258</v>
      </c>
    </row>
    <row r="8" spans="1:5" ht="13.5">
      <c r="A8" s="333"/>
      <c r="B8" s="334" t="s">
        <v>354</v>
      </c>
      <c r="C8" s="335">
        <v>0</v>
      </c>
      <c r="D8" s="335">
        <v>0</v>
      </c>
      <c r="E8" s="335">
        <v>0</v>
      </c>
    </row>
    <row r="9" spans="1:5" ht="13.5">
      <c r="A9" s="336"/>
      <c r="B9" s="337" t="s">
        <v>355</v>
      </c>
      <c r="C9" s="338">
        <v>27688761</v>
      </c>
      <c r="D9" s="338">
        <v>32805733</v>
      </c>
      <c r="E9" s="338">
        <v>32603258</v>
      </c>
    </row>
    <row r="10" spans="1:5" ht="12.75" thickBot="1">
      <c r="A10" s="339"/>
      <c r="B10" s="306"/>
      <c r="C10" s="340"/>
      <c r="D10" s="340"/>
      <c r="E10" s="340"/>
    </row>
    <row r="11" spans="1:5" ht="12.75" thickBot="1">
      <c r="A11" s="676" t="s">
        <v>356</v>
      </c>
      <c r="B11" s="677"/>
      <c r="C11" s="341">
        <v>27688761</v>
      </c>
      <c r="D11" s="341">
        <v>30563776</v>
      </c>
      <c r="E11" s="341">
        <v>29756491</v>
      </c>
    </row>
    <row r="12" spans="1:5" ht="13.5">
      <c r="A12" s="333"/>
      <c r="B12" s="334" t="s">
        <v>357</v>
      </c>
      <c r="C12" s="335"/>
      <c r="D12" s="335"/>
      <c r="E12" s="335"/>
    </row>
    <row r="13" spans="1:5" ht="13.5">
      <c r="A13" s="336"/>
      <c r="B13" s="337" t="s">
        <v>358</v>
      </c>
      <c r="C13" s="338">
        <v>27688761</v>
      </c>
      <c r="D13" s="338">
        <v>30563776</v>
      </c>
      <c r="E13" s="338">
        <v>29756491</v>
      </c>
    </row>
    <row r="14" spans="1:5" ht="12.75" thickBot="1">
      <c r="A14" s="342"/>
      <c r="B14" s="343"/>
      <c r="C14" s="344"/>
      <c r="D14" s="344"/>
      <c r="E14" s="344"/>
    </row>
    <row r="15" spans="1:5" ht="12.75" thickBot="1">
      <c r="A15" s="676" t="s">
        <v>359</v>
      </c>
      <c r="B15" s="677"/>
      <c r="C15" s="341">
        <f>C7-C11</f>
        <v>0</v>
      </c>
      <c r="D15" s="341">
        <f>D7-D11</f>
        <v>2241957</v>
      </c>
      <c r="E15" s="341">
        <f>E7-E11</f>
        <v>2846767</v>
      </c>
    </row>
    <row r="16" spans="1:5">
      <c r="A16" s="125"/>
      <c r="B16" s="125"/>
      <c r="C16" s="125"/>
      <c r="D16" s="125"/>
      <c r="E16" s="125"/>
    </row>
    <row r="17" spans="1:5" ht="13.5">
      <c r="A17" s="678" t="s">
        <v>67</v>
      </c>
      <c r="B17" s="679"/>
      <c r="C17" s="328" t="s">
        <v>204</v>
      </c>
      <c r="D17" s="328" t="s">
        <v>207</v>
      </c>
      <c r="E17" s="328" t="s">
        <v>352</v>
      </c>
    </row>
    <row r="18" spans="1:5" ht="12.75" thickBot="1">
      <c r="A18" s="339"/>
      <c r="B18" s="306"/>
      <c r="C18" s="340"/>
      <c r="D18" s="340"/>
      <c r="E18" s="340"/>
    </row>
    <row r="19" spans="1:5" ht="12.75" thickBot="1">
      <c r="A19" s="676" t="s">
        <v>360</v>
      </c>
      <c r="B19" s="677"/>
      <c r="C19" s="341">
        <f>C15</f>
        <v>0</v>
      </c>
      <c r="D19" s="341">
        <f>D15</f>
        <v>2241957</v>
      </c>
      <c r="E19" s="341">
        <f>E15</f>
        <v>2846767</v>
      </c>
    </row>
    <row r="20" spans="1:5" ht="12.75" thickBot="1">
      <c r="A20" s="345"/>
      <c r="B20" s="346"/>
      <c r="C20" s="347"/>
      <c r="D20" s="347"/>
      <c r="E20" s="347"/>
    </row>
    <row r="21" spans="1:5" ht="12.75" thickBot="1">
      <c r="A21" s="676" t="s">
        <v>361</v>
      </c>
      <c r="B21" s="677"/>
      <c r="C21" s="348">
        <v>0</v>
      </c>
      <c r="D21" s="348">
        <v>0</v>
      </c>
      <c r="E21" s="349">
        <v>0</v>
      </c>
    </row>
    <row r="22" spans="1:5" ht="12.75" thickBot="1">
      <c r="A22" s="350"/>
      <c r="B22" s="351"/>
      <c r="C22" s="347"/>
      <c r="D22" s="347"/>
      <c r="E22" s="347"/>
    </row>
    <row r="23" spans="1:5" ht="12.75" thickBot="1">
      <c r="A23" s="676" t="s">
        <v>362</v>
      </c>
      <c r="B23" s="677"/>
      <c r="C23" s="352">
        <f>C19-C21</f>
        <v>0</v>
      </c>
      <c r="D23" s="352">
        <f>D19-D21</f>
        <v>2241957</v>
      </c>
      <c r="E23" s="352">
        <f>E19-E21</f>
        <v>2846767</v>
      </c>
    </row>
    <row r="24" spans="1:5">
      <c r="A24" s="125"/>
      <c r="B24" s="125"/>
      <c r="C24" s="125"/>
      <c r="D24" s="125"/>
      <c r="E24" s="125"/>
    </row>
    <row r="25" spans="1:5" ht="13.5">
      <c r="A25" s="678" t="s">
        <v>67</v>
      </c>
      <c r="B25" s="679"/>
      <c r="C25" s="328" t="s">
        <v>204</v>
      </c>
      <c r="D25" s="328" t="s">
        <v>207</v>
      </c>
      <c r="E25" s="328" t="s">
        <v>352</v>
      </c>
    </row>
    <row r="26" spans="1:5" ht="12.75" thickBot="1">
      <c r="A26" s="339"/>
      <c r="B26" s="306"/>
      <c r="C26" s="353"/>
      <c r="D26" s="353"/>
      <c r="E26" s="353"/>
    </row>
    <row r="27" spans="1:5" ht="12.75" thickBot="1">
      <c r="A27" s="676" t="s">
        <v>363</v>
      </c>
      <c r="B27" s="677"/>
      <c r="C27" s="348"/>
      <c r="D27" s="348"/>
      <c r="E27" s="349"/>
    </row>
    <row r="28" spans="1:5" ht="12.75" thickBot="1">
      <c r="A28" s="345"/>
      <c r="B28" s="346"/>
      <c r="C28" s="354"/>
      <c r="D28" s="354"/>
      <c r="E28" s="354"/>
    </row>
    <row r="29" spans="1:5" ht="12.75" thickBot="1">
      <c r="A29" s="676" t="s">
        <v>364</v>
      </c>
      <c r="B29" s="677"/>
      <c r="C29" s="348"/>
      <c r="D29" s="348"/>
      <c r="E29" s="349"/>
    </row>
    <row r="30" spans="1:5" ht="12.75" thickBot="1">
      <c r="A30" s="350"/>
      <c r="B30" s="351"/>
      <c r="C30" s="347"/>
      <c r="D30" s="347"/>
      <c r="E30" s="347"/>
    </row>
    <row r="31" spans="1:5" ht="12.75" thickBot="1">
      <c r="A31" s="676" t="s">
        <v>365</v>
      </c>
      <c r="B31" s="677"/>
      <c r="C31" s="352">
        <f>C27-C29</f>
        <v>0</v>
      </c>
      <c r="D31" s="352">
        <f>D27-D29</f>
        <v>0</v>
      </c>
      <c r="E31" s="352">
        <f>E27-E29</f>
        <v>0</v>
      </c>
    </row>
    <row r="33" spans="1:5" s="355" customFormat="1" ht="42" customHeight="1">
      <c r="A33" s="675" t="s">
        <v>366</v>
      </c>
      <c r="B33" s="675"/>
      <c r="C33" s="675"/>
      <c r="D33" s="675"/>
      <c r="E33" s="675"/>
    </row>
    <row r="34" spans="1:5" s="355" customFormat="1" ht="42.75" customHeight="1">
      <c r="A34" s="675" t="s">
        <v>367</v>
      </c>
      <c r="B34" s="675"/>
      <c r="C34" s="675"/>
      <c r="D34" s="675"/>
      <c r="E34" s="675"/>
    </row>
    <row r="35" spans="1:5" s="355" customFormat="1" ht="18.75" customHeight="1">
      <c r="A35" s="675" t="s">
        <v>368</v>
      </c>
      <c r="B35" s="675"/>
      <c r="C35" s="675"/>
      <c r="D35" s="675"/>
      <c r="E35" s="675"/>
    </row>
  </sheetData>
  <mergeCells count="18">
    <mergeCell ref="A11:B11"/>
    <mergeCell ref="A1:E1"/>
    <mergeCell ref="A2:E2"/>
    <mergeCell ref="A3:E3"/>
    <mergeCell ref="A5:B5"/>
    <mergeCell ref="A7:B7"/>
    <mergeCell ref="A35:E35"/>
    <mergeCell ref="A15:B15"/>
    <mergeCell ref="A17:B17"/>
    <mergeCell ref="A19:B19"/>
    <mergeCell ref="A21:B21"/>
    <mergeCell ref="A23:B23"/>
    <mergeCell ref="A25:B25"/>
    <mergeCell ref="A27:B27"/>
    <mergeCell ref="A29:B29"/>
    <mergeCell ref="A31:B31"/>
    <mergeCell ref="A33:E33"/>
    <mergeCell ref="A34:E34"/>
  </mergeCells>
  <pageMargins left="0.70866141732283472" right="0.70866141732283472" top="0.74803149606299213" bottom="0.74803149606299213" header="0.31496062992125984" footer="0.31496062992125984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WVU72"/>
  <sheetViews>
    <sheetView showGridLines="0" topLeftCell="A37" zoomScale="80" zoomScaleNormal="80" workbookViewId="0">
      <selection activeCell="H70" sqref="H70:I71"/>
    </sheetView>
  </sheetViews>
  <sheetFormatPr baseColWidth="10" defaultColWidth="0" defaultRowHeight="12" customHeight="1" zeroHeight="1"/>
  <cols>
    <col min="1" max="1" width="1.7109375" style="1" customWidth="1"/>
    <col min="2" max="2" width="2.7109375" style="1" customWidth="1"/>
    <col min="3" max="3" width="11.42578125" style="1" customWidth="1"/>
    <col min="4" max="4" width="39.42578125" style="1" customWidth="1"/>
    <col min="5" max="6" width="21" style="1" customWidth="1"/>
    <col min="7" max="7" width="4.140625" style="1" customWidth="1"/>
    <col min="8" max="8" width="11.42578125" style="1" customWidth="1"/>
    <col min="9" max="9" width="53.42578125" style="1" customWidth="1"/>
    <col min="10" max="11" width="21" style="1" customWidth="1"/>
    <col min="12" max="12" width="2.140625" style="1" customWidth="1"/>
    <col min="13" max="13" width="3" style="1" customWidth="1"/>
    <col min="14" max="256" width="11.42578125" style="1" hidden="1"/>
    <col min="257" max="257" width="1.7109375" style="1" customWidth="1"/>
    <col min="258" max="258" width="2.7109375" style="1" customWidth="1"/>
    <col min="259" max="259" width="11.42578125" style="1" customWidth="1"/>
    <col min="260" max="260" width="39.42578125" style="1" customWidth="1"/>
    <col min="261" max="262" width="21" style="1" customWidth="1"/>
    <col min="263" max="263" width="4.140625" style="1" customWidth="1"/>
    <col min="264" max="264" width="11.42578125" style="1" customWidth="1"/>
    <col min="265" max="265" width="53.42578125" style="1" customWidth="1"/>
    <col min="266" max="267" width="21" style="1" customWidth="1"/>
    <col min="268" max="268" width="2.140625" style="1" customWidth="1"/>
    <col min="269" max="269" width="3" style="1" customWidth="1"/>
    <col min="270" max="512" width="11.42578125" style="1" hidden="1"/>
    <col min="513" max="513" width="1.7109375" style="1" customWidth="1"/>
    <col min="514" max="514" width="2.7109375" style="1" customWidth="1"/>
    <col min="515" max="515" width="11.42578125" style="1" customWidth="1"/>
    <col min="516" max="516" width="39.42578125" style="1" customWidth="1"/>
    <col min="517" max="518" width="21" style="1" customWidth="1"/>
    <col min="519" max="519" width="4.140625" style="1" customWidth="1"/>
    <col min="520" max="520" width="11.42578125" style="1" customWidth="1"/>
    <col min="521" max="521" width="53.42578125" style="1" customWidth="1"/>
    <col min="522" max="523" width="21" style="1" customWidth="1"/>
    <col min="524" max="524" width="2.140625" style="1" customWidth="1"/>
    <col min="525" max="525" width="3" style="1" customWidth="1"/>
    <col min="526" max="768" width="11.42578125" style="1" hidden="1"/>
    <col min="769" max="769" width="1.7109375" style="1" customWidth="1"/>
    <col min="770" max="770" width="2.7109375" style="1" customWidth="1"/>
    <col min="771" max="771" width="11.42578125" style="1" customWidth="1"/>
    <col min="772" max="772" width="39.42578125" style="1" customWidth="1"/>
    <col min="773" max="774" width="21" style="1" customWidth="1"/>
    <col min="775" max="775" width="4.140625" style="1" customWidth="1"/>
    <col min="776" max="776" width="11.42578125" style="1" customWidth="1"/>
    <col min="777" max="777" width="53.42578125" style="1" customWidth="1"/>
    <col min="778" max="779" width="21" style="1" customWidth="1"/>
    <col min="780" max="780" width="2.140625" style="1" customWidth="1"/>
    <col min="781" max="781" width="3" style="1" customWidth="1"/>
    <col min="782" max="1024" width="11.42578125" style="1" hidden="1"/>
    <col min="1025" max="1025" width="1.7109375" style="1" customWidth="1"/>
    <col min="1026" max="1026" width="2.7109375" style="1" customWidth="1"/>
    <col min="1027" max="1027" width="11.42578125" style="1" customWidth="1"/>
    <col min="1028" max="1028" width="39.42578125" style="1" customWidth="1"/>
    <col min="1029" max="1030" width="21" style="1" customWidth="1"/>
    <col min="1031" max="1031" width="4.140625" style="1" customWidth="1"/>
    <col min="1032" max="1032" width="11.42578125" style="1" customWidth="1"/>
    <col min="1033" max="1033" width="53.42578125" style="1" customWidth="1"/>
    <col min="1034" max="1035" width="21" style="1" customWidth="1"/>
    <col min="1036" max="1036" width="2.140625" style="1" customWidth="1"/>
    <col min="1037" max="1037" width="3" style="1" customWidth="1"/>
    <col min="1038" max="1280" width="11.42578125" style="1" hidden="1"/>
    <col min="1281" max="1281" width="1.7109375" style="1" customWidth="1"/>
    <col min="1282" max="1282" width="2.7109375" style="1" customWidth="1"/>
    <col min="1283" max="1283" width="11.42578125" style="1" customWidth="1"/>
    <col min="1284" max="1284" width="39.42578125" style="1" customWidth="1"/>
    <col min="1285" max="1286" width="21" style="1" customWidth="1"/>
    <col min="1287" max="1287" width="4.140625" style="1" customWidth="1"/>
    <col min="1288" max="1288" width="11.42578125" style="1" customWidth="1"/>
    <col min="1289" max="1289" width="53.42578125" style="1" customWidth="1"/>
    <col min="1290" max="1291" width="21" style="1" customWidth="1"/>
    <col min="1292" max="1292" width="2.140625" style="1" customWidth="1"/>
    <col min="1293" max="1293" width="3" style="1" customWidth="1"/>
    <col min="1294" max="1536" width="11.42578125" style="1" hidden="1"/>
    <col min="1537" max="1537" width="1.7109375" style="1" customWidth="1"/>
    <col min="1538" max="1538" width="2.7109375" style="1" customWidth="1"/>
    <col min="1539" max="1539" width="11.42578125" style="1" customWidth="1"/>
    <col min="1540" max="1540" width="39.42578125" style="1" customWidth="1"/>
    <col min="1541" max="1542" width="21" style="1" customWidth="1"/>
    <col min="1543" max="1543" width="4.140625" style="1" customWidth="1"/>
    <col min="1544" max="1544" width="11.42578125" style="1" customWidth="1"/>
    <col min="1545" max="1545" width="53.42578125" style="1" customWidth="1"/>
    <col min="1546" max="1547" width="21" style="1" customWidth="1"/>
    <col min="1548" max="1548" width="2.140625" style="1" customWidth="1"/>
    <col min="1549" max="1549" width="3" style="1" customWidth="1"/>
    <col min="1550" max="1792" width="11.42578125" style="1" hidden="1"/>
    <col min="1793" max="1793" width="1.7109375" style="1" customWidth="1"/>
    <col min="1794" max="1794" width="2.7109375" style="1" customWidth="1"/>
    <col min="1795" max="1795" width="11.42578125" style="1" customWidth="1"/>
    <col min="1796" max="1796" width="39.42578125" style="1" customWidth="1"/>
    <col min="1797" max="1798" width="21" style="1" customWidth="1"/>
    <col min="1799" max="1799" width="4.140625" style="1" customWidth="1"/>
    <col min="1800" max="1800" width="11.42578125" style="1" customWidth="1"/>
    <col min="1801" max="1801" width="53.42578125" style="1" customWidth="1"/>
    <col min="1802" max="1803" width="21" style="1" customWidth="1"/>
    <col min="1804" max="1804" width="2.140625" style="1" customWidth="1"/>
    <col min="1805" max="1805" width="3" style="1" customWidth="1"/>
    <col min="1806" max="2048" width="11.42578125" style="1" hidden="1"/>
    <col min="2049" max="2049" width="1.7109375" style="1" customWidth="1"/>
    <col min="2050" max="2050" width="2.7109375" style="1" customWidth="1"/>
    <col min="2051" max="2051" width="11.42578125" style="1" customWidth="1"/>
    <col min="2052" max="2052" width="39.42578125" style="1" customWidth="1"/>
    <col min="2053" max="2054" width="21" style="1" customWidth="1"/>
    <col min="2055" max="2055" width="4.140625" style="1" customWidth="1"/>
    <col min="2056" max="2056" width="11.42578125" style="1" customWidth="1"/>
    <col min="2057" max="2057" width="53.42578125" style="1" customWidth="1"/>
    <col min="2058" max="2059" width="21" style="1" customWidth="1"/>
    <col min="2060" max="2060" width="2.140625" style="1" customWidth="1"/>
    <col min="2061" max="2061" width="3" style="1" customWidth="1"/>
    <col min="2062" max="2304" width="11.42578125" style="1" hidden="1"/>
    <col min="2305" max="2305" width="1.7109375" style="1" customWidth="1"/>
    <col min="2306" max="2306" width="2.7109375" style="1" customWidth="1"/>
    <col min="2307" max="2307" width="11.42578125" style="1" customWidth="1"/>
    <col min="2308" max="2308" width="39.42578125" style="1" customWidth="1"/>
    <col min="2309" max="2310" width="21" style="1" customWidth="1"/>
    <col min="2311" max="2311" width="4.140625" style="1" customWidth="1"/>
    <col min="2312" max="2312" width="11.42578125" style="1" customWidth="1"/>
    <col min="2313" max="2313" width="53.42578125" style="1" customWidth="1"/>
    <col min="2314" max="2315" width="21" style="1" customWidth="1"/>
    <col min="2316" max="2316" width="2.140625" style="1" customWidth="1"/>
    <col min="2317" max="2317" width="3" style="1" customWidth="1"/>
    <col min="2318" max="2560" width="11.42578125" style="1" hidden="1"/>
    <col min="2561" max="2561" width="1.7109375" style="1" customWidth="1"/>
    <col min="2562" max="2562" width="2.7109375" style="1" customWidth="1"/>
    <col min="2563" max="2563" width="11.42578125" style="1" customWidth="1"/>
    <col min="2564" max="2564" width="39.42578125" style="1" customWidth="1"/>
    <col min="2565" max="2566" width="21" style="1" customWidth="1"/>
    <col min="2567" max="2567" width="4.140625" style="1" customWidth="1"/>
    <col min="2568" max="2568" width="11.42578125" style="1" customWidth="1"/>
    <col min="2569" max="2569" width="53.42578125" style="1" customWidth="1"/>
    <col min="2570" max="2571" width="21" style="1" customWidth="1"/>
    <col min="2572" max="2572" width="2.140625" style="1" customWidth="1"/>
    <col min="2573" max="2573" width="3" style="1" customWidth="1"/>
    <col min="2574" max="2816" width="11.42578125" style="1" hidden="1"/>
    <col min="2817" max="2817" width="1.7109375" style="1" customWidth="1"/>
    <col min="2818" max="2818" width="2.7109375" style="1" customWidth="1"/>
    <col min="2819" max="2819" width="11.42578125" style="1" customWidth="1"/>
    <col min="2820" max="2820" width="39.42578125" style="1" customWidth="1"/>
    <col min="2821" max="2822" width="21" style="1" customWidth="1"/>
    <col min="2823" max="2823" width="4.140625" style="1" customWidth="1"/>
    <col min="2824" max="2824" width="11.42578125" style="1" customWidth="1"/>
    <col min="2825" max="2825" width="53.42578125" style="1" customWidth="1"/>
    <col min="2826" max="2827" width="21" style="1" customWidth="1"/>
    <col min="2828" max="2828" width="2.140625" style="1" customWidth="1"/>
    <col min="2829" max="2829" width="3" style="1" customWidth="1"/>
    <col min="2830" max="3072" width="11.42578125" style="1" hidden="1"/>
    <col min="3073" max="3073" width="1.7109375" style="1" customWidth="1"/>
    <col min="3074" max="3074" width="2.7109375" style="1" customWidth="1"/>
    <col min="3075" max="3075" width="11.42578125" style="1" customWidth="1"/>
    <col min="3076" max="3076" width="39.42578125" style="1" customWidth="1"/>
    <col min="3077" max="3078" width="21" style="1" customWidth="1"/>
    <col min="3079" max="3079" width="4.140625" style="1" customWidth="1"/>
    <col min="3080" max="3080" width="11.42578125" style="1" customWidth="1"/>
    <col min="3081" max="3081" width="53.42578125" style="1" customWidth="1"/>
    <col min="3082" max="3083" width="21" style="1" customWidth="1"/>
    <col min="3084" max="3084" width="2.140625" style="1" customWidth="1"/>
    <col min="3085" max="3085" width="3" style="1" customWidth="1"/>
    <col min="3086" max="3328" width="11.42578125" style="1" hidden="1"/>
    <col min="3329" max="3329" width="1.7109375" style="1" customWidth="1"/>
    <col min="3330" max="3330" width="2.7109375" style="1" customWidth="1"/>
    <col min="3331" max="3331" width="11.42578125" style="1" customWidth="1"/>
    <col min="3332" max="3332" width="39.42578125" style="1" customWidth="1"/>
    <col min="3333" max="3334" width="21" style="1" customWidth="1"/>
    <col min="3335" max="3335" width="4.140625" style="1" customWidth="1"/>
    <col min="3336" max="3336" width="11.42578125" style="1" customWidth="1"/>
    <col min="3337" max="3337" width="53.42578125" style="1" customWidth="1"/>
    <col min="3338" max="3339" width="21" style="1" customWidth="1"/>
    <col min="3340" max="3340" width="2.140625" style="1" customWidth="1"/>
    <col min="3341" max="3341" width="3" style="1" customWidth="1"/>
    <col min="3342" max="3584" width="11.42578125" style="1" hidden="1"/>
    <col min="3585" max="3585" width="1.7109375" style="1" customWidth="1"/>
    <col min="3586" max="3586" width="2.7109375" style="1" customWidth="1"/>
    <col min="3587" max="3587" width="11.42578125" style="1" customWidth="1"/>
    <col min="3588" max="3588" width="39.42578125" style="1" customWidth="1"/>
    <col min="3589" max="3590" width="21" style="1" customWidth="1"/>
    <col min="3591" max="3591" width="4.140625" style="1" customWidth="1"/>
    <col min="3592" max="3592" width="11.42578125" style="1" customWidth="1"/>
    <col min="3593" max="3593" width="53.42578125" style="1" customWidth="1"/>
    <col min="3594" max="3595" width="21" style="1" customWidth="1"/>
    <col min="3596" max="3596" width="2.140625" style="1" customWidth="1"/>
    <col min="3597" max="3597" width="3" style="1" customWidth="1"/>
    <col min="3598" max="3840" width="11.42578125" style="1" hidden="1"/>
    <col min="3841" max="3841" width="1.7109375" style="1" customWidth="1"/>
    <col min="3842" max="3842" width="2.7109375" style="1" customWidth="1"/>
    <col min="3843" max="3843" width="11.42578125" style="1" customWidth="1"/>
    <col min="3844" max="3844" width="39.42578125" style="1" customWidth="1"/>
    <col min="3845" max="3846" width="21" style="1" customWidth="1"/>
    <col min="3847" max="3847" width="4.140625" style="1" customWidth="1"/>
    <col min="3848" max="3848" width="11.42578125" style="1" customWidth="1"/>
    <col min="3849" max="3849" width="53.42578125" style="1" customWidth="1"/>
    <col min="3850" max="3851" width="21" style="1" customWidth="1"/>
    <col min="3852" max="3852" width="2.140625" style="1" customWidth="1"/>
    <col min="3853" max="3853" width="3" style="1" customWidth="1"/>
    <col min="3854" max="4096" width="11.42578125" style="1" hidden="1"/>
    <col min="4097" max="4097" width="1.7109375" style="1" customWidth="1"/>
    <col min="4098" max="4098" width="2.7109375" style="1" customWidth="1"/>
    <col min="4099" max="4099" width="11.42578125" style="1" customWidth="1"/>
    <col min="4100" max="4100" width="39.42578125" style="1" customWidth="1"/>
    <col min="4101" max="4102" width="21" style="1" customWidth="1"/>
    <col min="4103" max="4103" width="4.140625" style="1" customWidth="1"/>
    <col min="4104" max="4104" width="11.42578125" style="1" customWidth="1"/>
    <col min="4105" max="4105" width="53.42578125" style="1" customWidth="1"/>
    <col min="4106" max="4107" width="21" style="1" customWidth="1"/>
    <col min="4108" max="4108" width="2.140625" style="1" customWidth="1"/>
    <col min="4109" max="4109" width="3" style="1" customWidth="1"/>
    <col min="4110" max="4352" width="11.42578125" style="1" hidden="1"/>
    <col min="4353" max="4353" width="1.7109375" style="1" customWidth="1"/>
    <col min="4354" max="4354" width="2.7109375" style="1" customWidth="1"/>
    <col min="4355" max="4355" width="11.42578125" style="1" customWidth="1"/>
    <col min="4356" max="4356" width="39.42578125" style="1" customWidth="1"/>
    <col min="4357" max="4358" width="21" style="1" customWidth="1"/>
    <col min="4359" max="4359" width="4.140625" style="1" customWidth="1"/>
    <col min="4360" max="4360" width="11.42578125" style="1" customWidth="1"/>
    <col min="4361" max="4361" width="53.42578125" style="1" customWidth="1"/>
    <col min="4362" max="4363" width="21" style="1" customWidth="1"/>
    <col min="4364" max="4364" width="2.140625" style="1" customWidth="1"/>
    <col min="4365" max="4365" width="3" style="1" customWidth="1"/>
    <col min="4366" max="4608" width="11.42578125" style="1" hidden="1"/>
    <col min="4609" max="4609" width="1.7109375" style="1" customWidth="1"/>
    <col min="4610" max="4610" width="2.7109375" style="1" customWidth="1"/>
    <col min="4611" max="4611" width="11.42578125" style="1" customWidth="1"/>
    <col min="4612" max="4612" width="39.42578125" style="1" customWidth="1"/>
    <col min="4613" max="4614" width="21" style="1" customWidth="1"/>
    <col min="4615" max="4615" width="4.140625" style="1" customWidth="1"/>
    <col min="4616" max="4616" width="11.42578125" style="1" customWidth="1"/>
    <col min="4617" max="4617" width="53.42578125" style="1" customWidth="1"/>
    <col min="4618" max="4619" width="21" style="1" customWidth="1"/>
    <col min="4620" max="4620" width="2.140625" style="1" customWidth="1"/>
    <col min="4621" max="4621" width="3" style="1" customWidth="1"/>
    <col min="4622" max="4864" width="11.42578125" style="1" hidden="1"/>
    <col min="4865" max="4865" width="1.7109375" style="1" customWidth="1"/>
    <col min="4866" max="4866" width="2.7109375" style="1" customWidth="1"/>
    <col min="4867" max="4867" width="11.42578125" style="1" customWidth="1"/>
    <col min="4868" max="4868" width="39.42578125" style="1" customWidth="1"/>
    <col min="4869" max="4870" width="21" style="1" customWidth="1"/>
    <col min="4871" max="4871" width="4.140625" style="1" customWidth="1"/>
    <col min="4872" max="4872" width="11.42578125" style="1" customWidth="1"/>
    <col min="4873" max="4873" width="53.42578125" style="1" customWidth="1"/>
    <col min="4874" max="4875" width="21" style="1" customWidth="1"/>
    <col min="4876" max="4876" width="2.140625" style="1" customWidth="1"/>
    <col min="4877" max="4877" width="3" style="1" customWidth="1"/>
    <col min="4878" max="5120" width="11.42578125" style="1" hidden="1"/>
    <col min="5121" max="5121" width="1.7109375" style="1" customWidth="1"/>
    <col min="5122" max="5122" width="2.7109375" style="1" customWidth="1"/>
    <col min="5123" max="5123" width="11.42578125" style="1" customWidth="1"/>
    <col min="5124" max="5124" width="39.42578125" style="1" customWidth="1"/>
    <col min="5125" max="5126" width="21" style="1" customWidth="1"/>
    <col min="5127" max="5127" width="4.140625" style="1" customWidth="1"/>
    <col min="5128" max="5128" width="11.42578125" style="1" customWidth="1"/>
    <col min="5129" max="5129" width="53.42578125" style="1" customWidth="1"/>
    <col min="5130" max="5131" width="21" style="1" customWidth="1"/>
    <col min="5132" max="5132" width="2.140625" style="1" customWidth="1"/>
    <col min="5133" max="5133" width="3" style="1" customWidth="1"/>
    <col min="5134" max="5376" width="11.42578125" style="1" hidden="1"/>
    <col min="5377" max="5377" width="1.7109375" style="1" customWidth="1"/>
    <col min="5378" max="5378" width="2.7109375" style="1" customWidth="1"/>
    <col min="5379" max="5379" width="11.42578125" style="1" customWidth="1"/>
    <col min="5380" max="5380" width="39.42578125" style="1" customWidth="1"/>
    <col min="5381" max="5382" width="21" style="1" customWidth="1"/>
    <col min="5383" max="5383" width="4.140625" style="1" customWidth="1"/>
    <col min="5384" max="5384" width="11.42578125" style="1" customWidth="1"/>
    <col min="5385" max="5385" width="53.42578125" style="1" customWidth="1"/>
    <col min="5386" max="5387" width="21" style="1" customWidth="1"/>
    <col min="5388" max="5388" width="2.140625" style="1" customWidth="1"/>
    <col min="5389" max="5389" width="3" style="1" customWidth="1"/>
    <col min="5390" max="5632" width="11.42578125" style="1" hidden="1"/>
    <col min="5633" max="5633" width="1.7109375" style="1" customWidth="1"/>
    <col min="5634" max="5634" width="2.7109375" style="1" customWidth="1"/>
    <col min="5635" max="5635" width="11.42578125" style="1" customWidth="1"/>
    <col min="5636" max="5636" width="39.42578125" style="1" customWidth="1"/>
    <col min="5637" max="5638" width="21" style="1" customWidth="1"/>
    <col min="5639" max="5639" width="4.140625" style="1" customWidth="1"/>
    <col min="5640" max="5640" width="11.42578125" style="1" customWidth="1"/>
    <col min="5641" max="5641" width="53.42578125" style="1" customWidth="1"/>
    <col min="5642" max="5643" width="21" style="1" customWidth="1"/>
    <col min="5644" max="5644" width="2.140625" style="1" customWidth="1"/>
    <col min="5645" max="5645" width="3" style="1" customWidth="1"/>
    <col min="5646" max="5888" width="11.42578125" style="1" hidden="1"/>
    <col min="5889" max="5889" width="1.7109375" style="1" customWidth="1"/>
    <col min="5890" max="5890" width="2.7109375" style="1" customWidth="1"/>
    <col min="5891" max="5891" width="11.42578125" style="1" customWidth="1"/>
    <col min="5892" max="5892" width="39.42578125" style="1" customWidth="1"/>
    <col min="5893" max="5894" width="21" style="1" customWidth="1"/>
    <col min="5895" max="5895" width="4.140625" style="1" customWidth="1"/>
    <col min="5896" max="5896" width="11.42578125" style="1" customWidth="1"/>
    <col min="5897" max="5897" width="53.42578125" style="1" customWidth="1"/>
    <col min="5898" max="5899" width="21" style="1" customWidth="1"/>
    <col min="5900" max="5900" width="2.140625" style="1" customWidth="1"/>
    <col min="5901" max="5901" width="3" style="1" customWidth="1"/>
    <col min="5902" max="6144" width="11.42578125" style="1" hidden="1"/>
    <col min="6145" max="6145" width="1.7109375" style="1" customWidth="1"/>
    <col min="6146" max="6146" width="2.7109375" style="1" customWidth="1"/>
    <col min="6147" max="6147" width="11.42578125" style="1" customWidth="1"/>
    <col min="6148" max="6148" width="39.42578125" style="1" customWidth="1"/>
    <col min="6149" max="6150" width="21" style="1" customWidth="1"/>
    <col min="6151" max="6151" width="4.140625" style="1" customWidth="1"/>
    <col min="6152" max="6152" width="11.42578125" style="1" customWidth="1"/>
    <col min="6153" max="6153" width="53.42578125" style="1" customWidth="1"/>
    <col min="6154" max="6155" width="21" style="1" customWidth="1"/>
    <col min="6156" max="6156" width="2.140625" style="1" customWidth="1"/>
    <col min="6157" max="6157" width="3" style="1" customWidth="1"/>
    <col min="6158" max="6400" width="11.42578125" style="1" hidden="1"/>
    <col min="6401" max="6401" width="1.7109375" style="1" customWidth="1"/>
    <col min="6402" max="6402" width="2.7109375" style="1" customWidth="1"/>
    <col min="6403" max="6403" width="11.42578125" style="1" customWidth="1"/>
    <col min="6404" max="6404" width="39.42578125" style="1" customWidth="1"/>
    <col min="6405" max="6406" width="21" style="1" customWidth="1"/>
    <col min="6407" max="6407" width="4.140625" style="1" customWidth="1"/>
    <col min="6408" max="6408" width="11.42578125" style="1" customWidth="1"/>
    <col min="6409" max="6409" width="53.42578125" style="1" customWidth="1"/>
    <col min="6410" max="6411" width="21" style="1" customWidth="1"/>
    <col min="6412" max="6412" width="2.140625" style="1" customWidth="1"/>
    <col min="6413" max="6413" width="3" style="1" customWidth="1"/>
    <col min="6414" max="6656" width="11.42578125" style="1" hidden="1"/>
    <col min="6657" max="6657" width="1.7109375" style="1" customWidth="1"/>
    <col min="6658" max="6658" width="2.7109375" style="1" customWidth="1"/>
    <col min="6659" max="6659" width="11.42578125" style="1" customWidth="1"/>
    <col min="6660" max="6660" width="39.42578125" style="1" customWidth="1"/>
    <col min="6661" max="6662" width="21" style="1" customWidth="1"/>
    <col min="6663" max="6663" width="4.140625" style="1" customWidth="1"/>
    <col min="6664" max="6664" width="11.42578125" style="1" customWidth="1"/>
    <col min="6665" max="6665" width="53.42578125" style="1" customWidth="1"/>
    <col min="6666" max="6667" width="21" style="1" customWidth="1"/>
    <col min="6668" max="6668" width="2.140625" style="1" customWidth="1"/>
    <col min="6669" max="6669" width="3" style="1" customWidth="1"/>
    <col min="6670" max="6912" width="11.42578125" style="1" hidden="1"/>
    <col min="6913" max="6913" width="1.7109375" style="1" customWidth="1"/>
    <col min="6914" max="6914" width="2.7109375" style="1" customWidth="1"/>
    <col min="6915" max="6915" width="11.42578125" style="1" customWidth="1"/>
    <col min="6916" max="6916" width="39.42578125" style="1" customWidth="1"/>
    <col min="6917" max="6918" width="21" style="1" customWidth="1"/>
    <col min="6919" max="6919" width="4.140625" style="1" customWidth="1"/>
    <col min="6920" max="6920" width="11.42578125" style="1" customWidth="1"/>
    <col min="6921" max="6921" width="53.42578125" style="1" customWidth="1"/>
    <col min="6922" max="6923" width="21" style="1" customWidth="1"/>
    <col min="6924" max="6924" width="2.140625" style="1" customWidth="1"/>
    <col min="6925" max="6925" width="3" style="1" customWidth="1"/>
    <col min="6926" max="7168" width="11.42578125" style="1" hidden="1"/>
    <col min="7169" max="7169" width="1.7109375" style="1" customWidth="1"/>
    <col min="7170" max="7170" width="2.7109375" style="1" customWidth="1"/>
    <col min="7171" max="7171" width="11.42578125" style="1" customWidth="1"/>
    <col min="7172" max="7172" width="39.42578125" style="1" customWidth="1"/>
    <col min="7173" max="7174" width="21" style="1" customWidth="1"/>
    <col min="7175" max="7175" width="4.140625" style="1" customWidth="1"/>
    <col min="7176" max="7176" width="11.42578125" style="1" customWidth="1"/>
    <col min="7177" max="7177" width="53.42578125" style="1" customWidth="1"/>
    <col min="7178" max="7179" width="21" style="1" customWidth="1"/>
    <col min="7180" max="7180" width="2.140625" style="1" customWidth="1"/>
    <col min="7181" max="7181" width="3" style="1" customWidth="1"/>
    <col min="7182" max="7424" width="11.42578125" style="1" hidden="1"/>
    <col min="7425" max="7425" width="1.7109375" style="1" customWidth="1"/>
    <col min="7426" max="7426" width="2.7109375" style="1" customWidth="1"/>
    <col min="7427" max="7427" width="11.42578125" style="1" customWidth="1"/>
    <col min="7428" max="7428" width="39.42578125" style="1" customWidth="1"/>
    <col min="7429" max="7430" width="21" style="1" customWidth="1"/>
    <col min="7431" max="7431" width="4.140625" style="1" customWidth="1"/>
    <col min="7432" max="7432" width="11.42578125" style="1" customWidth="1"/>
    <col min="7433" max="7433" width="53.42578125" style="1" customWidth="1"/>
    <col min="7434" max="7435" width="21" style="1" customWidth="1"/>
    <col min="7436" max="7436" width="2.140625" style="1" customWidth="1"/>
    <col min="7437" max="7437" width="3" style="1" customWidth="1"/>
    <col min="7438" max="7680" width="11.42578125" style="1" hidden="1"/>
    <col min="7681" max="7681" width="1.7109375" style="1" customWidth="1"/>
    <col min="7682" max="7682" width="2.7109375" style="1" customWidth="1"/>
    <col min="7683" max="7683" width="11.42578125" style="1" customWidth="1"/>
    <col min="7684" max="7684" width="39.42578125" style="1" customWidth="1"/>
    <col min="7685" max="7686" width="21" style="1" customWidth="1"/>
    <col min="7687" max="7687" width="4.140625" style="1" customWidth="1"/>
    <col min="7688" max="7688" width="11.42578125" style="1" customWidth="1"/>
    <col min="7689" max="7689" width="53.42578125" style="1" customWidth="1"/>
    <col min="7690" max="7691" width="21" style="1" customWidth="1"/>
    <col min="7692" max="7692" width="2.140625" style="1" customWidth="1"/>
    <col min="7693" max="7693" width="3" style="1" customWidth="1"/>
    <col min="7694" max="7936" width="11.42578125" style="1" hidden="1"/>
    <col min="7937" max="7937" width="1.7109375" style="1" customWidth="1"/>
    <col min="7938" max="7938" width="2.7109375" style="1" customWidth="1"/>
    <col min="7939" max="7939" width="11.42578125" style="1" customWidth="1"/>
    <col min="7940" max="7940" width="39.42578125" style="1" customWidth="1"/>
    <col min="7941" max="7942" width="21" style="1" customWidth="1"/>
    <col min="7943" max="7943" width="4.140625" style="1" customWidth="1"/>
    <col min="7944" max="7944" width="11.42578125" style="1" customWidth="1"/>
    <col min="7945" max="7945" width="53.42578125" style="1" customWidth="1"/>
    <col min="7946" max="7947" width="21" style="1" customWidth="1"/>
    <col min="7948" max="7948" width="2.140625" style="1" customWidth="1"/>
    <col min="7949" max="7949" width="3" style="1" customWidth="1"/>
    <col min="7950" max="8192" width="11.42578125" style="1" hidden="1"/>
    <col min="8193" max="8193" width="1.7109375" style="1" customWidth="1"/>
    <col min="8194" max="8194" width="2.7109375" style="1" customWidth="1"/>
    <col min="8195" max="8195" width="11.42578125" style="1" customWidth="1"/>
    <col min="8196" max="8196" width="39.42578125" style="1" customWidth="1"/>
    <col min="8197" max="8198" width="21" style="1" customWidth="1"/>
    <col min="8199" max="8199" width="4.140625" style="1" customWidth="1"/>
    <col min="8200" max="8200" width="11.42578125" style="1" customWidth="1"/>
    <col min="8201" max="8201" width="53.42578125" style="1" customWidth="1"/>
    <col min="8202" max="8203" width="21" style="1" customWidth="1"/>
    <col min="8204" max="8204" width="2.140625" style="1" customWidth="1"/>
    <col min="8205" max="8205" width="3" style="1" customWidth="1"/>
    <col min="8206" max="8448" width="11.42578125" style="1" hidden="1"/>
    <col min="8449" max="8449" width="1.7109375" style="1" customWidth="1"/>
    <col min="8450" max="8450" width="2.7109375" style="1" customWidth="1"/>
    <col min="8451" max="8451" width="11.42578125" style="1" customWidth="1"/>
    <col min="8452" max="8452" width="39.42578125" style="1" customWidth="1"/>
    <col min="8453" max="8454" width="21" style="1" customWidth="1"/>
    <col min="8455" max="8455" width="4.140625" style="1" customWidth="1"/>
    <col min="8456" max="8456" width="11.42578125" style="1" customWidth="1"/>
    <col min="8457" max="8457" width="53.42578125" style="1" customWidth="1"/>
    <col min="8458" max="8459" width="21" style="1" customWidth="1"/>
    <col min="8460" max="8460" width="2.140625" style="1" customWidth="1"/>
    <col min="8461" max="8461" width="3" style="1" customWidth="1"/>
    <col min="8462" max="8704" width="11.42578125" style="1" hidden="1"/>
    <col min="8705" max="8705" width="1.7109375" style="1" customWidth="1"/>
    <col min="8706" max="8706" width="2.7109375" style="1" customWidth="1"/>
    <col min="8707" max="8707" width="11.42578125" style="1" customWidth="1"/>
    <col min="8708" max="8708" width="39.42578125" style="1" customWidth="1"/>
    <col min="8709" max="8710" width="21" style="1" customWidth="1"/>
    <col min="8711" max="8711" width="4.140625" style="1" customWidth="1"/>
    <col min="8712" max="8712" width="11.42578125" style="1" customWidth="1"/>
    <col min="8713" max="8713" width="53.42578125" style="1" customWidth="1"/>
    <col min="8714" max="8715" width="21" style="1" customWidth="1"/>
    <col min="8716" max="8716" width="2.140625" style="1" customWidth="1"/>
    <col min="8717" max="8717" width="3" style="1" customWidth="1"/>
    <col min="8718" max="8960" width="11.42578125" style="1" hidden="1"/>
    <col min="8961" max="8961" width="1.7109375" style="1" customWidth="1"/>
    <col min="8962" max="8962" width="2.7109375" style="1" customWidth="1"/>
    <col min="8963" max="8963" width="11.42578125" style="1" customWidth="1"/>
    <col min="8964" max="8964" width="39.42578125" style="1" customWidth="1"/>
    <col min="8965" max="8966" width="21" style="1" customWidth="1"/>
    <col min="8967" max="8967" width="4.140625" style="1" customWidth="1"/>
    <col min="8968" max="8968" width="11.42578125" style="1" customWidth="1"/>
    <col min="8969" max="8969" width="53.42578125" style="1" customWidth="1"/>
    <col min="8970" max="8971" width="21" style="1" customWidth="1"/>
    <col min="8972" max="8972" width="2.140625" style="1" customWidth="1"/>
    <col min="8973" max="8973" width="3" style="1" customWidth="1"/>
    <col min="8974" max="9216" width="11.42578125" style="1" hidden="1"/>
    <col min="9217" max="9217" width="1.7109375" style="1" customWidth="1"/>
    <col min="9218" max="9218" width="2.7109375" style="1" customWidth="1"/>
    <col min="9219" max="9219" width="11.42578125" style="1" customWidth="1"/>
    <col min="9220" max="9220" width="39.42578125" style="1" customWidth="1"/>
    <col min="9221" max="9222" width="21" style="1" customWidth="1"/>
    <col min="9223" max="9223" width="4.140625" style="1" customWidth="1"/>
    <col min="9224" max="9224" width="11.42578125" style="1" customWidth="1"/>
    <col min="9225" max="9225" width="53.42578125" style="1" customWidth="1"/>
    <col min="9226" max="9227" width="21" style="1" customWidth="1"/>
    <col min="9228" max="9228" width="2.140625" style="1" customWidth="1"/>
    <col min="9229" max="9229" width="3" style="1" customWidth="1"/>
    <col min="9230" max="9472" width="11.42578125" style="1" hidden="1"/>
    <col min="9473" max="9473" width="1.7109375" style="1" customWidth="1"/>
    <col min="9474" max="9474" width="2.7109375" style="1" customWidth="1"/>
    <col min="9475" max="9475" width="11.42578125" style="1" customWidth="1"/>
    <col min="9476" max="9476" width="39.42578125" style="1" customWidth="1"/>
    <col min="9477" max="9478" width="21" style="1" customWidth="1"/>
    <col min="9479" max="9479" width="4.140625" style="1" customWidth="1"/>
    <col min="9480" max="9480" width="11.42578125" style="1" customWidth="1"/>
    <col min="9481" max="9481" width="53.42578125" style="1" customWidth="1"/>
    <col min="9482" max="9483" width="21" style="1" customWidth="1"/>
    <col min="9484" max="9484" width="2.140625" style="1" customWidth="1"/>
    <col min="9485" max="9485" width="3" style="1" customWidth="1"/>
    <col min="9486" max="9728" width="11.42578125" style="1" hidden="1"/>
    <col min="9729" max="9729" width="1.7109375" style="1" customWidth="1"/>
    <col min="9730" max="9730" width="2.7109375" style="1" customWidth="1"/>
    <col min="9731" max="9731" width="11.42578125" style="1" customWidth="1"/>
    <col min="9732" max="9732" width="39.42578125" style="1" customWidth="1"/>
    <col min="9733" max="9734" width="21" style="1" customWidth="1"/>
    <col min="9735" max="9735" width="4.140625" style="1" customWidth="1"/>
    <col min="9736" max="9736" width="11.42578125" style="1" customWidth="1"/>
    <col min="9737" max="9737" width="53.42578125" style="1" customWidth="1"/>
    <col min="9738" max="9739" width="21" style="1" customWidth="1"/>
    <col min="9740" max="9740" width="2.140625" style="1" customWidth="1"/>
    <col min="9741" max="9741" width="3" style="1" customWidth="1"/>
    <col min="9742" max="9984" width="11.42578125" style="1" hidden="1"/>
    <col min="9985" max="9985" width="1.7109375" style="1" customWidth="1"/>
    <col min="9986" max="9986" width="2.7109375" style="1" customWidth="1"/>
    <col min="9987" max="9987" width="11.42578125" style="1" customWidth="1"/>
    <col min="9988" max="9988" width="39.42578125" style="1" customWidth="1"/>
    <col min="9989" max="9990" width="21" style="1" customWidth="1"/>
    <col min="9991" max="9991" width="4.140625" style="1" customWidth="1"/>
    <col min="9992" max="9992" width="11.42578125" style="1" customWidth="1"/>
    <col min="9993" max="9993" width="53.42578125" style="1" customWidth="1"/>
    <col min="9994" max="9995" width="21" style="1" customWidth="1"/>
    <col min="9996" max="9996" width="2.140625" style="1" customWidth="1"/>
    <col min="9997" max="9997" width="3" style="1" customWidth="1"/>
    <col min="9998" max="10240" width="11.42578125" style="1" hidden="1"/>
    <col min="10241" max="10241" width="1.7109375" style="1" customWidth="1"/>
    <col min="10242" max="10242" width="2.7109375" style="1" customWidth="1"/>
    <col min="10243" max="10243" width="11.42578125" style="1" customWidth="1"/>
    <col min="10244" max="10244" width="39.42578125" style="1" customWidth="1"/>
    <col min="10245" max="10246" width="21" style="1" customWidth="1"/>
    <col min="10247" max="10247" width="4.140625" style="1" customWidth="1"/>
    <col min="10248" max="10248" width="11.42578125" style="1" customWidth="1"/>
    <col min="10249" max="10249" width="53.42578125" style="1" customWidth="1"/>
    <col min="10250" max="10251" width="21" style="1" customWidth="1"/>
    <col min="10252" max="10252" width="2.140625" style="1" customWidth="1"/>
    <col min="10253" max="10253" width="3" style="1" customWidth="1"/>
    <col min="10254" max="10496" width="11.42578125" style="1" hidden="1"/>
    <col min="10497" max="10497" width="1.7109375" style="1" customWidth="1"/>
    <col min="10498" max="10498" width="2.7109375" style="1" customWidth="1"/>
    <col min="10499" max="10499" width="11.42578125" style="1" customWidth="1"/>
    <col min="10500" max="10500" width="39.42578125" style="1" customWidth="1"/>
    <col min="10501" max="10502" width="21" style="1" customWidth="1"/>
    <col min="10503" max="10503" width="4.140625" style="1" customWidth="1"/>
    <col min="10504" max="10504" width="11.42578125" style="1" customWidth="1"/>
    <col min="10505" max="10505" width="53.42578125" style="1" customWidth="1"/>
    <col min="10506" max="10507" width="21" style="1" customWidth="1"/>
    <col min="10508" max="10508" width="2.140625" style="1" customWidth="1"/>
    <col min="10509" max="10509" width="3" style="1" customWidth="1"/>
    <col min="10510" max="10752" width="11.42578125" style="1" hidden="1"/>
    <col min="10753" max="10753" width="1.7109375" style="1" customWidth="1"/>
    <col min="10754" max="10754" width="2.7109375" style="1" customWidth="1"/>
    <col min="10755" max="10755" width="11.42578125" style="1" customWidth="1"/>
    <col min="10756" max="10756" width="39.42578125" style="1" customWidth="1"/>
    <col min="10757" max="10758" width="21" style="1" customWidth="1"/>
    <col min="10759" max="10759" width="4.140625" style="1" customWidth="1"/>
    <col min="10760" max="10760" width="11.42578125" style="1" customWidth="1"/>
    <col min="10761" max="10761" width="53.42578125" style="1" customWidth="1"/>
    <col min="10762" max="10763" width="21" style="1" customWidth="1"/>
    <col min="10764" max="10764" width="2.140625" style="1" customWidth="1"/>
    <col min="10765" max="10765" width="3" style="1" customWidth="1"/>
    <col min="10766" max="11008" width="11.42578125" style="1" hidden="1"/>
    <col min="11009" max="11009" width="1.7109375" style="1" customWidth="1"/>
    <col min="11010" max="11010" width="2.7109375" style="1" customWidth="1"/>
    <col min="11011" max="11011" width="11.42578125" style="1" customWidth="1"/>
    <col min="11012" max="11012" width="39.42578125" style="1" customWidth="1"/>
    <col min="11013" max="11014" width="21" style="1" customWidth="1"/>
    <col min="11015" max="11015" width="4.140625" style="1" customWidth="1"/>
    <col min="11016" max="11016" width="11.42578125" style="1" customWidth="1"/>
    <col min="11017" max="11017" width="53.42578125" style="1" customWidth="1"/>
    <col min="11018" max="11019" width="21" style="1" customWidth="1"/>
    <col min="11020" max="11020" width="2.140625" style="1" customWidth="1"/>
    <col min="11021" max="11021" width="3" style="1" customWidth="1"/>
    <col min="11022" max="11264" width="11.42578125" style="1" hidden="1"/>
    <col min="11265" max="11265" width="1.7109375" style="1" customWidth="1"/>
    <col min="11266" max="11266" width="2.7109375" style="1" customWidth="1"/>
    <col min="11267" max="11267" width="11.42578125" style="1" customWidth="1"/>
    <col min="11268" max="11268" width="39.42578125" style="1" customWidth="1"/>
    <col min="11269" max="11270" width="21" style="1" customWidth="1"/>
    <col min="11271" max="11271" width="4.140625" style="1" customWidth="1"/>
    <col min="11272" max="11272" width="11.42578125" style="1" customWidth="1"/>
    <col min="11273" max="11273" width="53.42578125" style="1" customWidth="1"/>
    <col min="11274" max="11275" width="21" style="1" customWidth="1"/>
    <col min="11276" max="11276" width="2.140625" style="1" customWidth="1"/>
    <col min="11277" max="11277" width="3" style="1" customWidth="1"/>
    <col min="11278" max="11520" width="11.42578125" style="1" hidden="1"/>
    <col min="11521" max="11521" width="1.7109375" style="1" customWidth="1"/>
    <col min="11522" max="11522" width="2.7109375" style="1" customWidth="1"/>
    <col min="11523" max="11523" width="11.42578125" style="1" customWidth="1"/>
    <col min="11524" max="11524" width="39.42578125" style="1" customWidth="1"/>
    <col min="11525" max="11526" width="21" style="1" customWidth="1"/>
    <col min="11527" max="11527" width="4.140625" style="1" customWidth="1"/>
    <col min="11528" max="11528" width="11.42578125" style="1" customWidth="1"/>
    <col min="11529" max="11529" width="53.42578125" style="1" customWidth="1"/>
    <col min="11530" max="11531" width="21" style="1" customWidth="1"/>
    <col min="11532" max="11532" width="2.140625" style="1" customWidth="1"/>
    <col min="11533" max="11533" width="3" style="1" customWidth="1"/>
    <col min="11534" max="11776" width="11.42578125" style="1" hidden="1"/>
    <col min="11777" max="11777" width="1.7109375" style="1" customWidth="1"/>
    <col min="11778" max="11778" width="2.7109375" style="1" customWidth="1"/>
    <col min="11779" max="11779" width="11.42578125" style="1" customWidth="1"/>
    <col min="11780" max="11780" width="39.42578125" style="1" customWidth="1"/>
    <col min="11781" max="11782" width="21" style="1" customWidth="1"/>
    <col min="11783" max="11783" width="4.140625" style="1" customWidth="1"/>
    <col min="11784" max="11784" width="11.42578125" style="1" customWidth="1"/>
    <col min="11785" max="11785" width="53.42578125" style="1" customWidth="1"/>
    <col min="11786" max="11787" width="21" style="1" customWidth="1"/>
    <col min="11788" max="11788" width="2.140625" style="1" customWidth="1"/>
    <col min="11789" max="11789" width="3" style="1" customWidth="1"/>
    <col min="11790" max="12032" width="11.42578125" style="1" hidden="1"/>
    <col min="12033" max="12033" width="1.7109375" style="1" customWidth="1"/>
    <col min="12034" max="12034" width="2.7109375" style="1" customWidth="1"/>
    <col min="12035" max="12035" width="11.42578125" style="1" customWidth="1"/>
    <col min="12036" max="12036" width="39.42578125" style="1" customWidth="1"/>
    <col min="12037" max="12038" width="21" style="1" customWidth="1"/>
    <col min="12039" max="12039" width="4.140625" style="1" customWidth="1"/>
    <col min="12040" max="12040" width="11.42578125" style="1" customWidth="1"/>
    <col min="12041" max="12041" width="53.42578125" style="1" customWidth="1"/>
    <col min="12042" max="12043" width="21" style="1" customWidth="1"/>
    <col min="12044" max="12044" width="2.140625" style="1" customWidth="1"/>
    <col min="12045" max="12045" width="3" style="1" customWidth="1"/>
    <col min="12046" max="12288" width="11.42578125" style="1" hidden="1"/>
    <col min="12289" max="12289" width="1.7109375" style="1" customWidth="1"/>
    <col min="12290" max="12290" width="2.7109375" style="1" customWidth="1"/>
    <col min="12291" max="12291" width="11.42578125" style="1" customWidth="1"/>
    <col min="12292" max="12292" width="39.42578125" style="1" customWidth="1"/>
    <col min="12293" max="12294" width="21" style="1" customWidth="1"/>
    <col min="12295" max="12295" width="4.140625" style="1" customWidth="1"/>
    <col min="12296" max="12296" width="11.42578125" style="1" customWidth="1"/>
    <col min="12297" max="12297" width="53.42578125" style="1" customWidth="1"/>
    <col min="12298" max="12299" width="21" style="1" customWidth="1"/>
    <col min="12300" max="12300" width="2.140625" style="1" customWidth="1"/>
    <col min="12301" max="12301" width="3" style="1" customWidth="1"/>
    <col min="12302" max="12544" width="11.42578125" style="1" hidden="1"/>
    <col min="12545" max="12545" width="1.7109375" style="1" customWidth="1"/>
    <col min="12546" max="12546" width="2.7109375" style="1" customWidth="1"/>
    <col min="12547" max="12547" width="11.42578125" style="1" customWidth="1"/>
    <col min="12548" max="12548" width="39.42578125" style="1" customWidth="1"/>
    <col min="12549" max="12550" width="21" style="1" customWidth="1"/>
    <col min="12551" max="12551" width="4.140625" style="1" customWidth="1"/>
    <col min="12552" max="12552" width="11.42578125" style="1" customWidth="1"/>
    <col min="12553" max="12553" width="53.42578125" style="1" customWidth="1"/>
    <col min="12554" max="12555" width="21" style="1" customWidth="1"/>
    <col min="12556" max="12556" width="2.140625" style="1" customWidth="1"/>
    <col min="12557" max="12557" width="3" style="1" customWidth="1"/>
    <col min="12558" max="12800" width="11.42578125" style="1" hidden="1"/>
    <col min="12801" max="12801" width="1.7109375" style="1" customWidth="1"/>
    <col min="12802" max="12802" width="2.7109375" style="1" customWidth="1"/>
    <col min="12803" max="12803" width="11.42578125" style="1" customWidth="1"/>
    <col min="12804" max="12804" width="39.42578125" style="1" customWidth="1"/>
    <col min="12805" max="12806" width="21" style="1" customWidth="1"/>
    <col min="12807" max="12807" width="4.140625" style="1" customWidth="1"/>
    <col min="12808" max="12808" width="11.42578125" style="1" customWidth="1"/>
    <col min="12809" max="12809" width="53.42578125" style="1" customWidth="1"/>
    <col min="12810" max="12811" width="21" style="1" customWidth="1"/>
    <col min="12812" max="12812" width="2.140625" style="1" customWidth="1"/>
    <col min="12813" max="12813" width="3" style="1" customWidth="1"/>
    <col min="12814" max="13056" width="11.42578125" style="1" hidden="1"/>
    <col min="13057" max="13057" width="1.7109375" style="1" customWidth="1"/>
    <col min="13058" max="13058" width="2.7109375" style="1" customWidth="1"/>
    <col min="13059" max="13059" width="11.42578125" style="1" customWidth="1"/>
    <col min="13060" max="13060" width="39.42578125" style="1" customWidth="1"/>
    <col min="13061" max="13062" width="21" style="1" customWidth="1"/>
    <col min="13063" max="13063" width="4.140625" style="1" customWidth="1"/>
    <col min="13064" max="13064" width="11.42578125" style="1" customWidth="1"/>
    <col min="13065" max="13065" width="53.42578125" style="1" customWidth="1"/>
    <col min="13066" max="13067" width="21" style="1" customWidth="1"/>
    <col min="13068" max="13068" width="2.140625" style="1" customWidth="1"/>
    <col min="13069" max="13069" width="3" style="1" customWidth="1"/>
    <col min="13070" max="13312" width="11.42578125" style="1" hidden="1"/>
    <col min="13313" max="13313" width="1.7109375" style="1" customWidth="1"/>
    <col min="13314" max="13314" width="2.7109375" style="1" customWidth="1"/>
    <col min="13315" max="13315" width="11.42578125" style="1" customWidth="1"/>
    <col min="13316" max="13316" width="39.42578125" style="1" customWidth="1"/>
    <col min="13317" max="13318" width="21" style="1" customWidth="1"/>
    <col min="13319" max="13319" width="4.140625" style="1" customWidth="1"/>
    <col min="13320" max="13320" width="11.42578125" style="1" customWidth="1"/>
    <col min="13321" max="13321" width="53.42578125" style="1" customWidth="1"/>
    <col min="13322" max="13323" width="21" style="1" customWidth="1"/>
    <col min="13324" max="13324" width="2.140625" style="1" customWidth="1"/>
    <col min="13325" max="13325" width="3" style="1" customWidth="1"/>
    <col min="13326" max="13568" width="11.42578125" style="1" hidden="1"/>
    <col min="13569" max="13569" width="1.7109375" style="1" customWidth="1"/>
    <col min="13570" max="13570" width="2.7109375" style="1" customWidth="1"/>
    <col min="13571" max="13571" width="11.42578125" style="1" customWidth="1"/>
    <col min="13572" max="13572" width="39.42578125" style="1" customWidth="1"/>
    <col min="13573" max="13574" width="21" style="1" customWidth="1"/>
    <col min="13575" max="13575" width="4.140625" style="1" customWidth="1"/>
    <col min="13576" max="13576" width="11.42578125" style="1" customWidth="1"/>
    <col min="13577" max="13577" width="53.42578125" style="1" customWidth="1"/>
    <col min="13578" max="13579" width="21" style="1" customWidth="1"/>
    <col min="13580" max="13580" width="2.140625" style="1" customWidth="1"/>
    <col min="13581" max="13581" width="3" style="1" customWidth="1"/>
    <col min="13582" max="13824" width="11.42578125" style="1" hidden="1"/>
    <col min="13825" max="13825" width="1.7109375" style="1" customWidth="1"/>
    <col min="13826" max="13826" width="2.7109375" style="1" customWidth="1"/>
    <col min="13827" max="13827" width="11.42578125" style="1" customWidth="1"/>
    <col min="13828" max="13828" width="39.42578125" style="1" customWidth="1"/>
    <col min="13829" max="13830" width="21" style="1" customWidth="1"/>
    <col min="13831" max="13831" width="4.140625" style="1" customWidth="1"/>
    <col min="13832" max="13832" width="11.42578125" style="1" customWidth="1"/>
    <col min="13833" max="13833" width="53.42578125" style="1" customWidth="1"/>
    <col min="13834" max="13835" width="21" style="1" customWidth="1"/>
    <col min="13836" max="13836" width="2.140625" style="1" customWidth="1"/>
    <col min="13837" max="13837" width="3" style="1" customWidth="1"/>
    <col min="13838" max="14080" width="11.42578125" style="1" hidden="1"/>
    <col min="14081" max="14081" width="1.7109375" style="1" customWidth="1"/>
    <col min="14082" max="14082" width="2.7109375" style="1" customWidth="1"/>
    <col min="14083" max="14083" width="11.42578125" style="1" customWidth="1"/>
    <col min="14084" max="14084" width="39.42578125" style="1" customWidth="1"/>
    <col min="14085" max="14086" width="21" style="1" customWidth="1"/>
    <col min="14087" max="14087" width="4.140625" style="1" customWidth="1"/>
    <col min="14088" max="14088" width="11.42578125" style="1" customWidth="1"/>
    <col min="14089" max="14089" width="53.42578125" style="1" customWidth="1"/>
    <col min="14090" max="14091" width="21" style="1" customWidth="1"/>
    <col min="14092" max="14092" width="2.140625" style="1" customWidth="1"/>
    <col min="14093" max="14093" width="3" style="1" customWidth="1"/>
    <col min="14094" max="14336" width="11.42578125" style="1" hidden="1"/>
    <col min="14337" max="14337" width="1.7109375" style="1" customWidth="1"/>
    <col min="14338" max="14338" width="2.7109375" style="1" customWidth="1"/>
    <col min="14339" max="14339" width="11.42578125" style="1" customWidth="1"/>
    <col min="14340" max="14340" width="39.42578125" style="1" customWidth="1"/>
    <col min="14341" max="14342" width="21" style="1" customWidth="1"/>
    <col min="14343" max="14343" width="4.140625" style="1" customWidth="1"/>
    <col min="14344" max="14344" width="11.42578125" style="1" customWidth="1"/>
    <col min="14345" max="14345" width="53.42578125" style="1" customWidth="1"/>
    <col min="14346" max="14347" width="21" style="1" customWidth="1"/>
    <col min="14348" max="14348" width="2.140625" style="1" customWidth="1"/>
    <col min="14349" max="14349" width="3" style="1" customWidth="1"/>
    <col min="14350" max="14592" width="11.42578125" style="1" hidden="1"/>
    <col min="14593" max="14593" width="1.7109375" style="1" customWidth="1"/>
    <col min="14594" max="14594" width="2.7109375" style="1" customWidth="1"/>
    <col min="14595" max="14595" width="11.42578125" style="1" customWidth="1"/>
    <col min="14596" max="14596" width="39.42578125" style="1" customWidth="1"/>
    <col min="14597" max="14598" width="21" style="1" customWidth="1"/>
    <col min="14599" max="14599" width="4.140625" style="1" customWidth="1"/>
    <col min="14600" max="14600" width="11.42578125" style="1" customWidth="1"/>
    <col min="14601" max="14601" width="53.42578125" style="1" customWidth="1"/>
    <col min="14602" max="14603" width="21" style="1" customWidth="1"/>
    <col min="14604" max="14604" width="2.140625" style="1" customWidth="1"/>
    <col min="14605" max="14605" width="3" style="1" customWidth="1"/>
    <col min="14606" max="14848" width="11.42578125" style="1" hidden="1"/>
    <col min="14849" max="14849" width="1.7109375" style="1" customWidth="1"/>
    <col min="14850" max="14850" width="2.7109375" style="1" customWidth="1"/>
    <col min="14851" max="14851" width="11.42578125" style="1" customWidth="1"/>
    <col min="14852" max="14852" width="39.42578125" style="1" customWidth="1"/>
    <col min="14853" max="14854" width="21" style="1" customWidth="1"/>
    <col min="14855" max="14855" width="4.140625" style="1" customWidth="1"/>
    <col min="14856" max="14856" width="11.42578125" style="1" customWidth="1"/>
    <col min="14857" max="14857" width="53.42578125" style="1" customWidth="1"/>
    <col min="14858" max="14859" width="21" style="1" customWidth="1"/>
    <col min="14860" max="14860" width="2.140625" style="1" customWidth="1"/>
    <col min="14861" max="14861" width="3" style="1" customWidth="1"/>
    <col min="14862" max="15104" width="11.42578125" style="1" hidden="1"/>
    <col min="15105" max="15105" width="1.7109375" style="1" customWidth="1"/>
    <col min="15106" max="15106" width="2.7109375" style="1" customWidth="1"/>
    <col min="15107" max="15107" width="11.42578125" style="1" customWidth="1"/>
    <col min="15108" max="15108" width="39.42578125" style="1" customWidth="1"/>
    <col min="15109" max="15110" width="21" style="1" customWidth="1"/>
    <col min="15111" max="15111" width="4.140625" style="1" customWidth="1"/>
    <col min="15112" max="15112" width="11.42578125" style="1" customWidth="1"/>
    <col min="15113" max="15113" width="53.42578125" style="1" customWidth="1"/>
    <col min="15114" max="15115" width="21" style="1" customWidth="1"/>
    <col min="15116" max="15116" width="2.140625" style="1" customWidth="1"/>
    <col min="15117" max="15117" width="3" style="1" customWidth="1"/>
    <col min="15118" max="15360" width="11.42578125" style="1" hidden="1"/>
    <col min="15361" max="15361" width="1.7109375" style="1" customWidth="1"/>
    <col min="15362" max="15362" width="2.7109375" style="1" customWidth="1"/>
    <col min="15363" max="15363" width="11.42578125" style="1" customWidth="1"/>
    <col min="15364" max="15364" width="39.42578125" style="1" customWidth="1"/>
    <col min="15365" max="15366" width="21" style="1" customWidth="1"/>
    <col min="15367" max="15367" width="4.140625" style="1" customWidth="1"/>
    <col min="15368" max="15368" width="11.42578125" style="1" customWidth="1"/>
    <col min="15369" max="15369" width="53.42578125" style="1" customWidth="1"/>
    <col min="15370" max="15371" width="21" style="1" customWidth="1"/>
    <col min="15372" max="15372" width="2.140625" style="1" customWidth="1"/>
    <col min="15373" max="15373" width="3" style="1" customWidth="1"/>
    <col min="15374" max="15616" width="11.42578125" style="1" hidden="1"/>
    <col min="15617" max="15617" width="1.7109375" style="1" customWidth="1"/>
    <col min="15618" max="15618" width="2.7109375" style="1" customWidth="1"/>
    <col min="15619" max="15619" width="11.42578125" style="1" customWidth="1"/>
    <col min="15620" max="15620" width="39.42578125" style="1" customWidth="1"/>
    <col min="15621" max="15622" width="21" style="1" customWidth="1"/>
    <col min="15623" max="15623" width="4.140625" style="1" customWidth="1"/>
    <col min="15624" max="15624" width="11.42578125" style="1" customWidth="1"/>
    <col min="15625" max="15625" width="53.42578125" style="1" customWidth="1"/>
    <col min="15626" max="15627" width="21" style="1" customWidth="1"/>
    <col min="15628" max="15628" width="2.140625" style="1" customWidth="1"/>
    <col min="15629" max="15629" width="3" style="1" customWidth="1"/>
    <col min="15630" max="15872" width="11.42578125" style="1" hidden="1"/>
    <col min="15873" max="15873" width="1.7109375" style="1" customWidth="1"/>
    <col min="15874" max="15874" width="2.7109375" style="1" customWidth="1"/>
    <col min="15875" max="15875" width="11.42578125" style="1" customWidth="1"/>
    <col min="15876" max="15876" width="39.42578125" style="1" customWidth="1"/>
    <col min="15877" max="15878" width="21" style="1" customWidth="1"/>
    <col min="15879" max="15879" width="4.140625" style="1" customWidth="1"/>
    <col min="15880" max="15880" width="11.42578125" style="1" customWidth="1"/>
    <col min="15881" max="15881" width="53.42578125" style="1" customWidth="1"/>
    <col min="15882" max="15883" width="21" style="1" customWidth="1"/>
    <col min="15884" max="15884" width="2.140625" style="1" customWidth="1"/>
    <col min="15885" max="15885" width="3" style="1" customWidth="1"/>
    <col min="15886" max="16128" width="11.42578125" style="1" hidden="1"/>
    <col min="16129" max="16129" width="1.7109375" style="1" customWidth="1"/>
    <col min="16130" max="16130" width="2.7109375" style="1" customWidth="1"/>
    <col min="16131" max="16131" width="11.42578125" style="1" customWidth="1"/>
    <col min="16132" max="16132" width="39.42578125" style="1" customWidth="1"/>
    <col min="16133" max="16134" width="21" style="1" customWidth="1"/>
    <col min="16135" max="16135" width="4.140625" style="1" customWidth="1"/>
    <col min="16136" max="16136" width="11.42578125" style="1" customWidth="1"/>
    <col min="16137" max="16137" width="53.42578125" style="1" customWidth="1"/>
    <col min="16138" max="16139" width="21" style="1" customWidth="1"/>
    <col min="16140" max="16140" width="2.140625" style="1" customWidth="1"/>
    <col min="16141" max="16141" width="3" style="1" customWidth="1"/>
    <col min="16142" max="16384" width="11.42578125" style="1" hidden="1"/>
  </cols>
  <sheetData>
    <row r="1" spans="2:13">
      <c r="B1" s="2"/>
      <c r="C1" s="3"/>
      <c r="D1" s="2"/>
      <c r="E1" s="4"/>
      <c r="F1" s="4"/>
      <c r="G1" s="5"/>
      <c r="H1" s="4"/>
      <c r="I1" s="4"/>
      <c r="J1" s="4"/>
      <c r="K1" s="2"/>
      <c r="L1" s="2"/>
      <c r="M1" s="2"/>
    </row>
    <row r="2" spans="2:13">
      <c r="B2" s="6"/>
      <c r="C2" s="7"/>
      <c r="D2" s="523" t="s">
        <v>412</v>
      </c>
      <c r="E2" s="523"/>
      <c r="F2" s="523"/>
      <c r="G2" s="523"/>
      <c r="H2" s="523"/>
      <c r="I2" s="523"/>
      <c r="J2" s="523"/>
      <c r="K2" s="7"/>
      <c r="L2" s="7"/>
      <c r="M2" s="2"/>
    </row>
    <row r="3" spans="2:13">
      <c r="B3" s="6"/>
      <c r="C3" s="7"/>
      <c r="D3" s="523" t="s">
        <v>1</v>
      </c>
      <c r="E3" s="523"/>
      <c r="F3" s="523"/>
      <c r="G3" s="523"/>
      <c r="H3" s="523"/>
      <c r="I3" s="523"/>
      <c r="J3" s="523"/>
      <c r="K3" s="7"/>
      <c r="L3" s="7"/>
      <c r="M3" s="2"/>
    </row>
    <row r="4" spans="2:13">
      <c r="B4" s="6"/>
      <c r="C4" s="7"/>
      <c r="D4" s="523" t="s">
        <v>414</v>
      </c>
      <c r="E4" s="523"/>
      <c r="F4" s="523"/>
      <c r="G4" s="523"/>
      <c r="H4" s="523"/>
      <c r="I4" s="523"/>
      <c r="J4" s="523"/>
      <c r="K4" s="7"/>
      <c r="L4" s="7"/>
      <c r="M4" s="2"/>
    </row>
    <row r="5" spans="2:13">
      <c r="B5" s="6"/>
      <c r="C5" s="8"/>
      <c r="D5" s="524" t="s">
        <v>2</v>
      </c>
      <c r="E5" s="524"/>
      <c r="F5" s="524"/>
      <c r="G5" s="524"/>
      <c r="H5" s="524"/>
      <c r="I5" s="524"/>
      <c r="J5" s="524"/>
      <c r="K5" s="8"/>
      <c r="L5" s="8"/>
      <c r="M5" s="2"/>
    </row>
    <row r="6" spans="2:13">
      <c r="B6" s="9"/>
      <c r="C6" s="10" t="s">
        <v>3</v>
      </c>
      <c r="D6" s="525" t="s">
        <v>421</v>
      </c>
      <c r="E6" s="525"/>
      <c r="F6" s="525"/>
      <c r="G6" s="525"/>
      <c r="H6" s="525"/>
      <c r="I6" s="525"/>
      <c r="J6" s="525"/>
      <c r="K6" s="11"/>
      <c r="L6" s="2"/>
      <c r="M6" s="2"/>
    </row>
    <row r="7" spans="2:13">
      <c r="B7" s="8"/>
      <c r="C7" s="8"/>
      <c r="D7" s="8"/>
      <c r="E7" s="8"/>
      <c r="F7" s="8"/>
      <c r="G7" s="12"/>
      <c r="H7" s="8"/>
      <c r="I7" s="8"/>
      <c r="J7" s="8"/>
      <c r="K7" s="8"/>
      <c r="L7" s="6"/>
      <c r="M7" s="2"/>
    </row>
    <row r="8" spans="2:13">
      <c r="B8" s="8"/>
      <c r="C8" s="8"/>
      <c r="D8" s="8"/>
      <c r="E8" s="8"/>
      <c r="F8" s="8"/>
      <c r="G8" s="12"/>
      <c r="H8" s="8"/>
      <c r="I8" s="8"/>
      <c r="J8" s="8"/>
      <c r="K8" s="8"/>
      <c r="L8" s="2"/>
      <c r="M8" s="2"/>
    </row>
    <row r="9" spans="2:13">
      <c r="B9" s="517"/>
      <c r="C9" s="519" t="s">
        <v>5</v>
      </c>
      <c r="D9" s="519"/>
      <c r="E9" s="46" t="s">
        <v>6</v>
      </c>
      <c r="F9" s="46"/>
      <c r="G9" s="521"/>
      <c r="H9" s="519" t="s">
        <v>5</v>
      </c>
      <c r="I9" s="519"/>
      <c r="J9" s="46" t="s">
        <v>6</v>
      </c>
      <c r="K9" s="46"/>
      <c r="L9" s="47"/>
      <c r="M9" s="2"/>
    </row>
    <row r="10" spans="2:13">
      <c r="B10" s="518"/>
      <c r="C10" s="520"/>
      <c r="D10" s="520"/>
      <c r="E10" s="429">
        <v>2015</v>
      </c>
      <c r="F10" s="429">
        <v>2014</v>
      </c>
      <c r="G10" s="522"/>
      <c r="H10" s="520"/>
      <c r="I10" s="520"/>
      <c r="J10" s="429">
        <v>2015</v>
      </c>
      <c r="K10" s="429">
        <v>2014</v>
      </c>
      <c r="L10" s="48"/>
      <c r="M10" s="2"/>
    </row>
    <row r="11" spans="2:13">
      <c r="B11" s="13"/>
      <c r="C11" s="8"/>
      <c r="D11" s="8"/>
      <c r="E11" s="8"/>
      <c r="F11" s="8"/>
      <c r="G11" s="12"/>
      <c r="H11" s="8"/>
      <c r="I11" s="8"/>
      <c r="J11" s="8"/>
      <c r="K11" s="8"/>
      <c r="L11" s="14"/>
      <c r="M11" s="2"/>
    </row>
    <row r="12" spans="2:13">
      <c r="B12" s="13"/>
      <c r="C12" s="8"/>
      <c r="D12" s="8"/>
      <c r="E12" s="8"/>
      <c r="F12" s="8"/>
      <c r="G12" s="12"/>
      <c r="H12" s="8"/>
      <c r="I12" s="8"/>
      <c r="J12" s="8"/>
      <c r="K12" s="8"/>
      <c r="L12" s="14"/>
      <c r="M12" s="2"/>
    </row>
    <row r="13" spans="2:13">
      <c r="B13" s="15"/>
      <c r="C13" s="526" t="s">
        <v>7</v>
      </c>
      <c r="D13" s="526"/>
      <c r="E13" s="16"/>
      <c r="F13" s="17"/>
      <c r="G13" s="18"/>
      <c r="H13" s="526" t="s">
        <v>8</v>
      </c>
      <c r="I13" s="526"/>
      <c r="J13" s="19"/>
      <c r="K13" s="19"/>
      <c r="L13" s="14"/>
      <c r="M13" s="2"/>
    </row>
    <row r="14" spans="2:13">
      <c r="B14" s="15"/>
      <c r="C14" s="20"/>
      <c r="D14" s="19"/>
      <c r="E14" s="21"/>
      <c r="F14" s="21"/>
      <c r="G14" s="18"/>
      <c r="H14" s="20"/>
      <c r="I14" s="19"/>
      <c r="J14" s="22"/>
      <c r="K14" s="22"/>
      <c r="L14" s="14"/>
      <c r="M14" s="2"/>
    </row>
    <row r="15" spans="2:13">
      <c r="B15" s="15"/>
      <c r="C15" s="527" t="s">
        <v>9</v>
      </c>
      <c r="D15" s="527"/>
      <c r="E15" s="21"/>
      <c r="F15" s="21"/>
      <c r="G15" s="18"/>
      <c r="H15" s="527" t="s">
        <v>10</v>
      </c>
      <c r="I15" s="527"/>
      <c r="J15" s="21"/>
      <c r="K15" s="21"/>
      <c r="L15" s="14"/>
      <c r="M15" s="2"/>
    </row>
    <row r="16" spans="2:13">
      <c r="B16" s="15"/>
      <c r="C16" s="23"/>
      <c r="D16" s="24"/>
      <c r="E16" s="21"/>
      <c r="F16" s="21"/>
      <c r="G16" s="18"/>
      <c r="H16" s="23"/>
      <c r="I16" s="24"/>
      <c r="J16" s="21"/>
      <c r="K16" s="21"/>
      <c r="L16" s="14"/>
      <c r="M16" s="2"/>
    </row>
    <row r="17" spans="2:13">
      <c r="B17" s="15"/>
      <c r="C17" s="528" t="s">
        <v>11</v>
      </c>
      <c r="D17" s="528"/>
      <c r="E17" s="25">
        <v>12952952.220000001</v>
      </c>
      <c r="F17" s="25">
        <v>9933721.4800000004</v>
      </c>
      <c r="G17" s="18"/>
      <c r="H17" s="528" t="s">
        <v>12</v>
      </c>
      <c r="I17" s="528"/>
      <c r="J17" s="25">
        <v>2272746.6800000002</v>
      </c>
      <c r="K17" s="25">
        <v>1293044.44</v>
      </c>
      <c r="L17" s="14"/>
      <c r="M17" s="2"/>
    </row>
    <row r="18" spans="2:13">
      <c r="B18" s="15"/>
      <c r="C18" s="528" t="s">
        <v>13</v>
      </c>
      <c r="D18" s="528"/>
      <c r="E18" s="25">
        <v>210164.47</v>
      </c>
      <c r="F18" s="25">
        <v>10549835.57</v>
      </c>
      <c r="G18" s="18"/>
      <c r="H18" s="528" t="s">
        <v>14</v>
      </c>
      <c r="I18" s="528"/>
      <c r="J18" s="25">
        <v>0</v>
      </c>
      <c r="K18" s="25">
        <v>0</v>
      </c>
      <c r="L18" s="14"/>
      <c r="M18" s="2"/>
    </row>
    <row r="19" spans="2:13">
      <c r="B19" s="15"/>
      <c r="C19" s="528" t="s">
        <v>15</v>
      </c>
      <c r="D19" s="528"/>
      <c r="E19" s="25">
        <v>0</v>
      </c>
      <c r="F19" s="25">
        <v>0</v>
      </c>
      <c r="G19" s="18"/>
      <c r="H19" s="528" t="s">
        <v>16</v>
      </c>
      <c r="I19" s="528"/>
      <c r="J19" s="25">
        <v>0</v>
      </c>
      <c r="K19" s="25">
        <v>0</v>
      </c>
      <c r="L19" s="14"/>
      <c r="M19" s="2"/>
    </row>
    <row r="20" spans="2:13">
      <c r="B20" s="15"/>
      <c r="C20" s="528" t="s">
        <v>17</v>
      </c>
      <c r="D20" s="528"/>
      <c r="E20" s="25">
        <v>0</v>
      </c>
      <c r="F20" s="25">
        <v>0</v>
      </c>
      <c r="G20" s="18"/>
      <c r="H20" s="528" t="s">
        <v>18</v>
      </c>
      <c r="I20" s="528"/>
      <c r="J20" s="25">
        <v>0</v>
      </c>
      <c r="K20" s="25">
        <v>0</v>
      </c>
      <c r="L20" s="14"/>
      <c r="M20" s="2"/>
    </row>
    <row r="21" spans="2:13">
      <c r="B21" s="15"/>
      <c r="C21" s="528" t="s">
        <v>19</v>
      </c>
      <c r="D21" s="528"/>
      <c r="E21" s="25">
        <v>0</v>
      </c>
      <c r="F21" s="25">
        <v>0</v>
      </c>
      <c r="G21" s="18"/>
      <c r="H21" s="528" t="s">
        <v>20</v>
      </c>
      <c r="I21" s="528"/>
      <c r="J21" s="25">
        <v>0</v>
      </c>
      <c r="K21" s="25">
        <v>0</v>
      </c>
      <c r="L21" s="14"/>
      <c r="M21" s="2"/>
    </row>
    <row r="22" spans="2:13">
      <c r="B22" s="15"/>
      <c r="C22" s="528" t="s">
        <v>21</v>
      </c>
      <c r="D22" s="528"/>
      <c r="E22" s="25">
        <v>0</v>
      </c>
      <c r="F22" s="25">
        <v>0</v>
      </c>
      <c r="G22" s="18"/>
      <c r="H22" s="528" t="s">
        <v>22</v>
      </c>
      <c r="I22" s="528"/>
      <c r="J22" s="25">
        <v>0</v>
      </c>
      <c r="K22" s="25">
        <v>0</v>
      </c>
      <c r="L22" s="14"/>
      <c r="M22" s="2"/>
    </row>
    <row r="23" spans="2:13">
      <c r="B23" s="15"/>
      <c r="C23" s="528" t="s">
        <v>23</v>
      </c>
      <c r="D23" s="528"/>
      <c r="E23" s="25">
        <v>0</v>
      </c>
      <c r="F23" s="25">
        <v>0</v>
      </c>
      <c r="G23" s="18"/>
      <c r="H23" s="528" t="s">
        <v>24</v>
      </c>
      <c r="I23" s="528"/>
      <c r="J23" s="25">
        <v>0</v>
      </c>
      <c r="K23" s="25">
        <v>0</v>
      </c>
      <c r="L23" s="14"/>
      <c r="M23" s="2"/>
    </row>
    <row r="24" spans="2:13">
      <c r="B24" s="15"/>
      <c r="C24" s="26"/>
      <c r="D24" s="416"/>
      <c r="E24" s="27"/>
      <c r="F24" s="27"/>
      <c r="G24" s="18"/>
      <c r="H24" s="528" t="s">
        <v>25</v>
      </c>
      <c r="I24" s="528"/>
      <c r="J24" s="25">
        <v>0</v>
      </c>
      <c r="K24" s="25">
        <v>0</v>
      </c>
      <c r="L24" s="14"/>
      <c r="M24" s="2"/>
    </row>
    <row r="25" spans="2:13">
      <c r="B25" s="28"/>
      <c r="C25" s="527" t="s">
        <v>26</v>
      </c>
      <c r="D25" s="527"/>
      <c r="E25" s="22">
        <f>SUM(E17:E24)</f>
        <v>13163116.690000001</v>
      </c>
      <c r="F25" s="22">
        <f>SUM(F17:F24)</f>
        <v>20483557.050000001</v>
      </c>
      <c r="G25" s="29"/>
      <c r="H25" s="20"/>
      <c r="I25" s="19"/>
      <c r="J25" s="30"/>
      <c r="K25" s="30"/>
      <c r="L25" s="14"/>
      <c r="M25" s="2"/>
    </row>
    <row r="26" spans="2:13">
      <c r="B26" s="28"/>
      <c r="C26" s="20"/>
      <c r="D26" s="415"/>
      <c r="E26" s="30"/>
      <c r="F26" s="30"/>
      <c r="G26" s="29"/>
      <c r="H26" s="527" t="s">
        <v>27</v>
      </c>
      <c r="I26" s="527"/>
      <c r="J26" s="22">
        <f>SUM(J17:J25)</f>
        <v>2272746.6800000002</v>
      </c>
      <c r="K26" s="22">
        <f>SUM(K17:K25)</f>
        <v>1293044.44</v>
      </c>
      <c r="L26" s="14"/>
      <c r="M26" s="2"/>
    </row>
    <row r="27" spans="2:13">
      <c r="B27" s="15"/>
      <c r="C27" s="26"/>
      <c r="D27" s="26"/>
      <c r="E27" s="27"/>
      <c r="F27" s="27"/>
      <c r="G27" s="18"/>
      <c r="H27" s="31"/>
      <c r="I27" s="416"/>
      <c r="J27" s="27"/>
      <c r="K27" s="27"/>
      <c r="L27" s="14"/>
      <c r="M27" s="2"/>
    </row>
    <row r="28" spans="2:13">
      <c r="B28" s="15"/>
      <c r="C28" s="527" t="s">
        <v>28</v>
      </c>
      <c r="D28" s="527"/>
      <c r="E28" s="21"/>
      <c r="F28" s="21"/>
      <c r="G28" s="18"/>
      <c r="H28" s="527" t="s">
        <v>29</v>
      </c>
      <c r="I28" s="527"/>
      <c r="J28" s="21"/>
      <c r="K28" s="21"/>
      <c r="L28" s="14"/>
      <c r="M28" s="2"/>
    </row>
    <row r="29" spans="2:13">
      <c r="B29" s="15"/>
      <c r="C29" s="26"/>
      <c r="D29" s="26"/>
      <c r="E29" s="27"/>
      <c r="F29" s="27"/>
      <c r="G29" s="18"/>
      <c r="H29" s="26"/>
      <c r="I29" s="416"/>
      <c r="J29" s="27"/>
      <c r="K29" s="27"/>
      <c r="L29" s="14"/>
      <c r="M29" s="2"/>
    </row>
    <row r="30" spans="2:13">
      <c r="B30" s="15"/>
      <c r="C30" s="528" t="s">
        <v>30</v>
      </c>
      <c r="D30" s="528"/>
      <c r="E30" s="25">
        <v>0</v>
      </c>
      <c r="F30" s="25">
        <v>0</v>
      </c>
      <c r="G30" s="18"/>
      <c r="H30" s="528" t="s">
        <v>31</v>
      </c>
      <c r="I30" s="528"/>
      <c r="J30" s="25">
        <v>0</v>
      </c>
      <c r="K30" s="25">
        <v>0</v>
      </c>
      <c r="L30" s="14"/>
      <c r="M30" s="2"/>
    </row>
    <row r="31" spans="2:13">
      <c r="B31" s="15"/>
      <c r="C31" s="528" t="s">
        <v>32</v>
      </c>
      <c r="D31" s="528"/>
      <c r="E31" s="25">
        <v>10542104.57</v>
      </c>
      <c r="F31" s="25">
        <v>0</v>
      </c>
      <c r="G31" s="18"/>
      <c r="H31" s="528" t="s">
        <v>33</v>
      </c>
      <c r="I31" s="528"/>
      <c r="J31" s="25">
        <v>0</v>
      </c>
      <c r="K31" s="25">
        <v>0</v>
      </c>
      <c r="L31" s="14"/>
      <c r="M31" s="2"/>
    </row>
    <row r="32" spans="2:13">
      <c r="B32" s="15"/>
      <c r="C32" s="528" t="s">
        <v>34</v>
      </c>
      <c r="D32" s="528"/>
      <c r="E32" s="25">
        <v>3120000</v>
      </c>
      <c r="F32" s="25">
        <v>3120000</v>
      </c>
      <c r="G32" s="18"/>
      <c r="H32" s="528" t="s">
        <v>35</v>
      </c>
      <c r="I32" s="528"/>
      <c r="J32" s="25">
        <v>0</v>
      </c>
      <c r="K32" s="25">
        <v>0</v>
      </c>
      <c r="L32" s="14"/>
      <c r="M32" s="2"/>
    </row>
    <row r="33" spans="2:13">
      <c r="B33" s="15"/>
      <c r="C33" s="528" t="s">
        <v>36</v>
      </c>
      <c r="D33" s="528"/>
      <c r="E33" s="25">
        <v>17640491.530000001</v>
      </c>
      <c r="F33" s="25">
        <v>17056653.550000001</v>
      </c>
      <c r="G33" s="18"/>
      <c r="H33" s="528" t="s">
        <v>37</v>
      </c>
      <c r="I33" s="528"/>
      <c r="J33" s="25">
        <v>0</v>
      </c>
      <c r="K33" s="25">
        <v>0</v>
      </c>
      <c r="L33" s="14"/>
      <c r="M33" s="2"/>
    </row>
    <row r="34" spans="2:13">
      <c r="B34" s="15"/>
      <c r="C34" s="528" t="s">
        <v>38</v>
      </c>
      <c r="D34" s="528"/>
      <c r="E34" s="25">
        <v>1420957.24</v>
      </c>
      <c r="F34" s="25">
        <v>1397096.04</v>
      </c>
      <c r="G34" s="18"/>
      <c r="H34" s="528" t="s">
        <v>39</v>
      </c>
      <c r="I34" s="528"/>
      <c r="J34" s="25">
        <v>0</v>
      </c>
      <c r="K34" s="25">
        <v>0</v>
      </c>
      <c r="L34" s="14"/>
      <c r="M34" s="2"/>
    </row>
    <row r="35" spans="2:13">
      <c r="B35" s="15"/>
      <c r="C35" s="528" t="s">
        <v>40</v>
      </c>
      <c r="D35" s="528"/>
      <c r="E35" s="25">
        <v>-13257732.33</v>
      </c>
      <c r="F35" s="25">
        <v>-11581552.060000001</v>
      </c>
      <c r="G35" s="18"/>
      <c r="H35" s="528" t="s">
        <v>41</v>
      </c>
      <c r="I35" s="528"/>
      <c r="J35" s="25">
        <v>0</v>
      </c>
      <c r="K35" s="25">
        <v>0</v>
      </c>
      <c r="L35" s="14"/>
      <c r="M35" s="2"/>
    </row>
    <row r="36" spans="2:13">
      <c r="B36" s="15"/>
      <c r="C36" s="528" t="s">
        <v>42</v>
      </c>
      <c r="D36" s="528"/>
      <c r="E36" s="25">
        <v>0</v>
      </c>
      <c r="F36" s="25">
        <v>0</v>
      </c>
      <c r="G36" s="18"/>
      <c r="H36" s="26"/>
      <c r="I36" s="416"/>
      <c r="J36" s="27"/>
      <c r="K36" s="27"/>
      <c r="L36" s="14"/>
      <c r="M36" s="2"/>
    </row>
    <row r="37" spans="2:13">
      <c r="B37" s="15"/>
      <c r="C37" s="528" t="s">
        <v>43</v>
      </c>
      <c r="D37" s="528"/>
      <c r="E37" s="25">
        <v>0</v>
      </c>
      <c r="F37" s="25">
        <v>0</v>
      </c>
      <c r="G37" s="18"/>
      <c r="H37" s="527" t="s">
        <v>44</v>
      </c>
      <c r="I37" s="527"/>
      <c r="J37" s="22">
        <f>SUM(J30:J36)</f>
        <v>0</v>
      </c>
      <c r="K37" s="22">
        <f>SUM(K30:K36)</f>
        <v>0</v>
      </c>
      <c r="L37" s="14"/>
      <c r="M37" s="2"/>
    </row>
    <row r="38" spans="2:13">
      <c r="B38" s="15"/>
      <c r="C38" s="528" t="s">
        <v>45</v>
      </c>
      <c r="D38" s="528"/>
      <c r="E38" s="25">
        <v>0</v>
      </c>
      <c r="F38" s="25">
        <v>0</v>
      </c>
      <c r="G38" s="18"/>
      <c r="H38" s="20"/>
      <c r="I38" s="415"/>
      <c r="J38" s="30"/>
      <c r="K38" s="30"/>
      <c r="L38" s="14"/>
      <c r="M38" s="2"/>
    </row>
    <row r="39" spans="2:13">
      <c r="B39" s="15"/>
      <c r="C39" s="26"/>
      <c r="D39" s="416"/>
      <c r="E39" s="27"/>
      <c r="F39" s="27"/>
      <c r="G39" s="18"/>
      <c r="H39" s="527" t="s">
        <v>46</v>
      </c>
      <c r="I39" s="527"/>
      <c r="J39" s="22">
        <f>J26+J37</f>
        <v>2272746.6800000002</v>
      </c>
      <c r="K39" s="22">
        <f>K26+K37</f>
        <v>1293044.44</v>
      </c>
      <c r="L39" s="14"/>
      <c r="M39" s="2"/>
    </row>
    <row r="40" spans="2:13">
      <c r="B40" s="28"/>
      <c r="C40" s="527" t="s">
        <v>47</v>
      </c>
      <c r="D40" s="527"/>
      <c r="E40" s="22">
        <f>SUM(E30:E39)</f>
        <v>19465821.009999998</v>
      </c>
      <c r="F40" s="22">
        <f>SUM(F30:F39)</f>
        <v>9992197.5299999993</v>
      </c>
      <c r="G40" s="29"/>
      <c r="H40" s="20"/>
      <c r="I40" s="428"/>
      <c r="J40" s="30"/>
      <c r="K40" s="30"/>
      <c r="L40" s="14"/>
      <c r="M40" s="2"/>
    </row>
    <row r="41" spans="2:13">
      <c r="B41" s="15"/>
      <c r="C41" s="26"/>
      <c r="D41" s="20"/>
      <c r="E41" s="27"/>
      <c r="F41" s="27"/>
      <c r="G41" s="18"/>
      <c r="H41" s="526" t="s">
        <v>48</v>
      </c>
      <c r="I41" s="526"/>
      <c r="J41" s="27"/>
      <c r="K41" s="27"/>
      <c r="L41" s="14"/>
      <c r="M41" s="2"/>
    </row>
    <row r="42" spans="2:13">
      <c r="B42" s="15"/>
      <c r="C42" s="527" t="s">
        <v>49</v>
      </c>
      <c r="D42" s="527"/>
      <c r="E42" s="22">
        <f>E25+E40</f>
        <v>32628937.699999999</v>
      </c>
      <c r="F42" s="22">
        <f>F25+F40</f>
        <v>30475754.579999998</v>
      </c>
      <c r="G42" s="18"/>
      <c r="H42" s="20"/>
      <c r="I42" s="428"/>
      <c r="J42" s="27"/>
      <c r="K42" s="27"/>
      <c r="L42" s="14"/>
      <c r="M42" s="2"/>
    </row>
    <row r="43" spans="2:13">
      <c r="B43" s="15"/>
      <c r="C43" s="26"/>
      <c r="D43" s="26"/>
      <c r="E43" s="27"/>
      <c r="F43" s="27"/>
      <c r="G43" s="18"/>
      <c r="H43" s="527" t="s">
        <v>50</v>
      </c>
      <c r="I43" s="527"/>
      <c r="J43" s="22">
        <f>SUM(J45:J47)</f>
        <v>1852143.02</v>
      </c>
      <c r="K43" s="22">
        <f>SUM(K45:K47)</f>
        <v>1852143.02</v>
      </c>
      <c r="L43" s="14"/>
      <c r="M43" s="2"/>
    </row>
    <row r="44" spans="2:13">
      <c r="B44" s="15"/>
      <c r="C44" s="26"/>
      <c r="D44" s="26"/>
      <c r="E44" s="27"/>
      <c r="F44" s="27"/>
      <c r="G44" s="18"/>
      <c r="H44" s="26"/>
      <c r="I44" s="17"/>
      <c r="J44" s="27"/>
      <c r="K44" s="27"/>
      <c r="L44" s="14"/>
      <c r="M44" s="2"/>
    </row>
    <row r="45" spans="2:13">
      <c r="B45" s="15"/>
      <c r="C45" s="26"/>
      <c r="D45" s="26"/>
      <c r="E45" s="27"/>
      <c r="F45" s="27"/>
      <c r="G45" s="18"/>
      <c r="H45" s="528" t="s">
        <v>51</v>
      </c>
      <c r="I45" s="528"/>
      <c r="J45" s="25">
        <v>0</v>
      </c>
      <c r="K45" s="25">
        <v>0</v>
      </c>
      <c r="L45" s="14"/>
      <c r="M45" s="2"/>
    </row>
    <row r="46" spans="2:13">
      <c r="B46" s="15"/>
      <c r="C46" s="26"/>
      <c r="D46" s="33"/>
      <c r="E46" s="33"/>
      <c r="F46" s="27"/>
      <c r="G46" s="18"/>
      <c r="H46" s="528" t="s">
        <v>52</v>
      </c>
      <c r="I46" s="528"/>
      <c r="J46" s="25">
        <v>1852143.02</v>
      </c>
      <c r="K46" s="25">
        <v>1852143.02</v>
      </c>
      <c r="L46" s="14"/>
      <c r="M46" s="2"/>
    </row>
    <row r="47" spans="2:13">
      <c r="B47" s="15"/>
      <c r="C47" s="26"/>
      <c r="D47" s="33"/>
      <c r="E47" s="33"/>
      <c r="F47" s="27"/>
      <c r="G47" s="18"/>
      <c r="H47" s="528" t="s">
        <v>53</v>
      </c>
      <c r="I47" s="528"/>
      <c r="J47" s="25">
        <v>0</v>
      </c>
      <c r="K47" s="25">
        <v>0</v>
      </c>
      <c r="L47" s="14"/>
      <c r="M47" s="2"/>
    </row>
    <row r="48" spans="2:13">
      <c r="B48" s="15"/>
      <c r="C48" s="26"/>
      <c r="D48" s="33"/>
      <c r="E48" s="33"/>
      <c r="F48" s="27"/>
      <c r="G48" s="18"/>
      <c r="H48" s="26"/>
      <c r="I48" s="17"/>
      <c r="J48" s="27"/>
      <c r="K48" s="27"/>
      <c r="L48" s="14"/>
      <c r="M48" s="2"/>
    </row>
    <row r="49" spans="2:13">
      <c r="B49" s="15"/>
      <c r="C49" s="26"/>
      <c r="D49" s="33"/>
      <c r="E49" s="33"/>
      <c r="F49" s="27"/>
      <c r="G49" s="18"/>
      <c r="H49" s="527" t="s">
        <v>54</v>
      </c>
      <c r="I49" s="527"/>
      <c r="J49" s="22">
        <f>SUM(J51:J55)</f>
        <v>28504048</v>
      </c>
      <c r="K49" s="22">
        <f>SUM(K51:K55)</f>
        <v>27330567.120000001</v>
      </c>
      <c r="L49" s="14"/>
      <c r="M49" s="2"/>
    </row>
    <row r="50" spans="2:13">
      <c r="B50" s="15"/>
      <c r="C50" s="26"/>
      <c r="D50" s="33"/>
      <c r="E50" s="33"/>
      <c r="F50" s="27"/>
      <c r="G50" s="18"/>
      <c r="H50" s="20"/>
      <c r="I50" s="17"/>
      <c r="J50" s="34"/>
      <c r="K50" s="34"/>
      <c r="L50" s="14"/>
      <c r="M50" s="2"/>
    </row>
    <row r="51" spans="2:13">
      <c r="B51" s="15"/>
      <c r="C51" s="26"/>
      <c r="D51" s="33"/>
      <c r="E51" s="33"/>
      <c r="F51" s="27"/>
      <c r="G51" s="18"/>
      <c r="H51" s="528" t="s">
        <v>55</v>
      </c>
      <c r="I51" s="528"/>
      <c r="J51" s="25">
        <v>1173480.8799999999</v>
      </c>
      <c r="K51" s="25">
        <v>1136419.69</v>
      </c>
      <c r="L51" s="14"/>
      <c r="M51" s="2"/>
    </row>
    <row r="52" spans="2:13">
      <c r="B52" s="15"/>
      <c r="C52" s="26"/>
      <c r="D52" s="33"/>
      <c r="E52" s="33"/>
      <c r="F52" s="27"/>
      <c r="G52" s="18"/>
      <c r="H52" s="528" t="s">
        <v>56</v>
      </c>
      <c r="I52" s="528"/>
      <c r="J52" s="25">
        <v>27330567.120000001</v>
      </c>
      <c r="K52" s="25">
        <v>26194147.43</v>
      </c>
      <c r="L52" s="14"/>
      <c r="M52" s="2"/>
    </row>
    <row r="53" spans="2:13">
      <c r="B53" s="15"/>
      <c r="C53" s="26"/>
      <c r="D53" s="33"/>
      <c r="E53" s="33"/>
      <c r="F53" s="27"/>
      <c r="G53" s="18"/>
      <c r="H53" s="528" t="s">
        <v>57</v>
      </c>
      <c r="I53" s="528"/>
      <c r="J53" s="25">
        <v>0</v>
      </c>
      <c r="K53" s="25">
        <v>0</v>
      </c>
      <c r="L53" s="14"/>
      <c r="M53" s="2"/>
    </row>
    <row r="54" spans="2:13">
      <c r="B54" s="15"/>
      <c r="C54" s="26"/>
      <c r="D54" s="26"/>
      <c r="E54" s="27"/>
      <c r="F54" s="27"/>
      <c r="G54" s="18"/>
      <c r="H54" s="528" t="s">
        <v>58</v>
      </c>
      <c r="I54" s="528"/>
      <c r="J54" s="25">
        <v>0</v>
      </c>
      <c r="K54" s="25">
        <v>0</v>
      </c>
      <c r="L54" s="14"/>
      <c r="M54" s="2"/>
    </row>
    <row r="55" spans="2:13">
      <c r="B55" s="15"/>
      <c r="C55" s="26"/>
      <c r="D55" s="26"/>
      <c r="E55" s="27"/>
      <c r="F55" s="27"/>
      <c r="G55" s="18"/>
      <c r="H55" s="528" t="s">
        <v>59</v>
      </c>
      <c r="I55" s="528"/>
      <c r="J55" s="25">
        <v>0</v>
      </c>
      <c r="K55" s="25">
        <v>0</v>
      </c>
      <c r="L55" s="14"/>
      <c r="M55" s="2"/>
    </row>
    <row r="56" spans="2:13">
      <c r="B56" s="15"/>
      <c r="C56" s="26"/>
      <c r="D56" s="26"/>
      <c r="E56" s="27"/>
      <c r="F56" s="27"/>
      <c r="G56" s="18"/>
      <c r="H56" s="26"/>
      <c r="I56" s="17"/>
      <c r="J56" s="27"/>
      <c r="K56" s="27"/>
      <c r="L56" s="14"/>
      <c r="M56" s="2"/>
    </row>
    <row r="57" spans="2:13">
      <c r="B57" s="15"/>
      <c r="C57" s="26"/>
      <c r="D57" s="26"/>
      <c r="E57" s="27"/>
      <c r="F57" s="27"/>
      <c r="G57" s="18"/>
      <c r="H57" s="527" t="s">
        <v>60</v>
      </c>
      <c r="I57" s="527"/>
      <c r="J57" s="22">
        <f>SUM(J59:J60)</f>
        <v>0</v>
      </c>
      <c r="K57" s="22">
        <f>SUM(K59:K60)</f>
        <v>0</v>
      </c>
      <c r="L57" s="14"/>
      <c r="M57" s="2"/>
    </row>
    <row r="58" spans="2:13">
      <c r="B58" s="15"/>
      <c r="C58" s="26"/>
      <c r="D58" s="26"/>
      <c r="E58" s="27"/>
      <c r="F58" s="27"/>
      <c r="G58" s="18"/>
      <c r="H58" s="26"/>
      <c r="I58" s="17"/>
      <c r="J58" s="27"/>
      <c r="K58" s="27"/>
      <c r="L58" s="14"/>
      <c r="M58" s="2"/>
    </row>
    <row r="59" spans="2:13">
      <c r="B59" s="15"/>
      <c r="C59" s="26"/>
      <c r="D59" s="26"/>
      <c r="E59" s="27"/>
      <c r="F59" s="27"/>
      <c r="G59" s="18"/>
      <c r="H59" s="528" t="s">
        <v>61</v>
      </c>
      <c r="I59" s="528"/>
      <c r="J59" s="25">
        <v>0</v>
      </c>
      <c r="K59" s="25">
        <v>0</v>
      </c>
      <c r="L59" s="14"/>
      <c r="M59" s="2"/>
    </row>
    <row r="60" spans="2:13">
      <c r="B60" s="15"/>
      <c r="C60" s="26"/>
      <c r="D60" s="26"/>
      <c r="E60" s="27"/>
      <c r="F60" s="27"/>
      <c r="G60" s="18"/>
      <c r="H60" s="528" t="s">
        <v>62</v>
      </c>
      <c r="I60" s="528"/>
      <c r="J60" s="25">
        <v>0</v>
      </c>
      <c r="K60" s="25">
        <v>0</v>
      </c>
      <c r="L60" s="14"/>
      <c r="M60" s="2"/>
    </row>
    <row r="61" spans="2:13">
      <c r="B61" s="15"/>
      <c r="C61" s="26"/>
      <c r="D61" s="26"/>
      <c r="E61" s="27"/>
      <c r="F61" s="27"/>
      <c r="G61" s="18"/>
      <c r="H61" s="26"/>
      <c r="I61" s="417"/>
      <c r="J61" s="27"/>
      <c r="K61" s="27"/>
      <c r="L61" s="14"/>
      <c r="M61" s="2"/>
    </row>
    <row r="62" spans="2:13">
      <c r="B62" s="15"/>
      <c r="C62" s="26"/>
      <c r="D62" s="26"/>
      <c r="E62" s="27"/>
      <c r="F62" s="27"/>
      <c r="G62" s="18"/>
      <c r="H62" s="527" t="s">
        <v>63</v>
      </c>
      <c r="I62" s="527"/>
      <c r="J62" s="22">
        <f>J43+J49+J57</f>
        <v>30356191.02</v>
      </c>
      <c r="K62" s="22">
        <f>K43+K49+K57</f>
        <v>29182710.140000001</v>
      </c>
      <c r="L62" s="14"/>
      <c r="M62" s="2"/>
    </row>
    <row r="63" spans="2:13">
      <c r="B63" s="15"/>
      <c r="C63" s="26"/>
      <c r="D63" s="26"/>
      <c r="E63" s="27"/>
      <c r="F63" s="27"/>
      <c r="G63" s="18"/>
      <c r="H63" s="26"/>
      <c r="I63" s="17"/>
      <c r="J63" s="27"/>
      <c r="K63" s="27"/>
      <c r="L63" s="14"/>
      <c r="M63" s="2"/>
    </row>
    <row r="64" spans="2:13">
      <c r="B64" s="15"/>
      <c r="C64" s="26"/>
      <c r="D64" s="26"/>
      <c r="E64" s="27"/>
      <c r="F64" s="27"/>
      <c r="G64" s="18"/>
      <c r="H64" s="527" t="s">
        <v>64</v>
      </c>
      <c r="I64" s="527"/>
      <c r="J64" s="22">
        <f>J62+J39</f>
        <v>32628937.699999999</v>
      </c>
      <c r="K64" s="22">
        <f>K62+K39</f>
        <v>30475754.580000002</v>
      </c>
      <c r="L64" s="14"/>
      <c r="M64" s="2"/>
    </row>
    <row r="65" spans="2:13">
      <c r="B65" s="35"/>
      <c r="C65" s="36"/>
      <c r="D65" s="36"/>
      <c r="E65" s="36"/>
      <c r="F65" s="36"/>
      <c r="G65" s="37"/>
      <c r="H65" s="36"/>
      <c r="I65" s="36"/>
      <c r="J65" s="36"/>
      <c r="K65" s="36"/>
      <c r="L65" s="38"/>
      <c r="M65" s="2"/>
    </row>
    <row r="66" spans="2:13">
      <c r="B66" s="6"/>
      <c r="C66" s="17"/>
      <c r="D66" s="39"/>
      <c r="E66" s="40"/>
      <c r="F66" s="40"/>
      <c r="G66" s="18"/>
      <c r="H66" s="41"/>
      <c r="I66" s="39"/>
      <c r="J66" s="40"/>
      <c r="K66" s="40"/>
      <c r="L66" s="2"/>
      <c r="M66" s="2"/>
    </row>
    <row r="67" spans="2:13">
      <c r="B67" s="2"/>
      <c r="C67" s="530" t="s">
        <v>65</v>
      </c>
      <c r="D67" s="530"/>
      <c r="E67" s="530"/>
      <c r="F67" s="530"/>
      <c r="G67" s="530"/>
      <c r="H67" s="530"/>
      <c r="I67" s="530"/>
      <c r="J67" s="530"/>
      <c r="K67" s="530"/>
      <c r="L67" s="2"/>
      <c r="M67" s="2"/>
    </row>
    <row r="68" spans="2:13">
      <c r="B68" s="2"/>
      <c r="C68" s="17"/>
      <c r="D68" s="39"/>
      <c r="E68" s="40"/>
      <c r="F68" s="40"/>
      <c r="G68" s="2"/>
      <c r="H68" s="41"/>
      <c r="I68" s="42"/>
      <c r="J68" s="40"/>
      <c r="K68" s="40"/>
      <c r="L68" s="2"/>
      <c r="M68" s="2"/>
    </row>
    <row r="69" spans="2:13">
      <c r="B69" s="2"/>
      <c r="C69" s="17"/>
      <c r="D69" s="39"/>
      <c r="E69" s="40"/>
      <c r="F69" s="40"/>
      <c r="G69" s="2"/>
      <c r="H69" s="41"/>
      <c r="I69" s="42"/>
      <c r="J69" s="40"/>
      <c r="K69" s="40"/>
      <c r="L69" s="2"/>
      <c r="M69" s="2"/>
    </row>
    <row r="70" spans="2:13">
      <c r="B70" s="2"/>
      <c r="C70" s="43"/>
      <c r="D70" s="531" t="s">
        <v>437</v>
      </c>
      <c r="E70" s="531"/>
      <c r="F70" s="40"/>
      <c r="G70" s="40"/>
      <c r="H70" s="531" t="s">
        <v>422</v>
      </c>
      <c r="I70" s="531"/>
      <c r="J70" s="19"/>
      <c r="K70" s="40"/>
      <c r="L70" s="2"/>
      <c r="M70" s="2"/>
    </row>
    <row r="71" spans="2:13" ht="12" customHeight="1">
      <c r="B71" s="2"/>
      <c r="C71" s="44"/>
      <c r="D71" s="529" t="s">
        <v>438</v>
      </c>
      <c r="E71" s="529"/>
      <c r="F71" s="45"/>
      <c r="G71" s="45"/>
      <c r="H71" s="529" t="s">
        <v>423</v>
      </c>
      <c r="I71" s="529"/>
      <c r="J71" s="19"/>
      <c r="K71" s="40"/>
      <c r="L71" s="2"/>
      <c r="M71" s="2"/>
    </row>
    <row r="72" spans="2:13" s="6" customFormat="1"/>
  </sheetData>
  <sheetProtection password="DF2C" sheet="1" objects="1" scenarios="1" formatCells="0" formatColumns="0" formatRows="0"/>
  <mergeCells count="72">
    <mergeCell ref="D71:E71"/>
    <mergeCell ref="H71:I71"/>
    <mergeCell ref="H53:I53"/>
    <mergeCell ref="H54:I54"/>
    <mergeCell ref="H55:I55"/>
    <mergeCell ref="H57:I57"/>
    <mergeCell ref="H59:I59"/>
    <mergeCell ref="H60:I60"/>
    <mergeCell ref="H62:I62"/>
    <mergeCell ref="H64:I64"/>
    <mergeCell ref="C67:K67"/>
    <mergeCell ref="D70:E70"/>
    <mergeCell ref="H70:I70"/>
    <mergeCell ref="H52:I52"/>
    <mergeCell ref="C38:D38"/>
    <mergeCell ref="H39:I39"/>
    <mergeCell ref="C40:D40"/>
    <mergeCell ref="H41:I41"/>
    <mergeCell ref="C42:D42"/>
    <mergeCell ref="H43:I43"/>
    <mergeCell ref="H45:I45"/>
    <mergeCell ref="H46:I46"/>
    <mergeCell ref="H47:I47"/>
    <mergeCell ref="H49:I49"/>
    <mergeCell ref="H51:I51"/>
    <mergeCell ref="C37:D37"/>
    <mergeCell ref="H37:I37"/>
    <mergeCell ref="C31:D31"/>
    <mergeCell ref="H31:I31"/>
    <mergeCell ref="C32:D32"/>
    <mergeCell ref="H32:I32"/>
    <mergeCell ref="C33:D33"/>
    <mergeCell ref="H33:I33"/>
    <mergeCell ref="C34:D34"/>
    <mergeCell ref="H34:I34"/>
    <mergeCell ref="C35:D35"/>
    <mergeCell ref="H35:I35"/>
    <mergeCell ref="C36:D36"/>
    <mergeCell ref="C30:D30"/>
    <mergeCell ref="H30:I30"/>
    <mergeCell ref="C21:D21"/>
    <mergeCell ref="H21:I21"/>
    <mergeCell ref="C22:D22"/>
    <mergeCell ref="H22:I22"/>
    <mergeCell ref="C23:D23"/>
    <mergeCell ref="H23:I23"/>
    <mergeCell ref="H24:I24"/>
    <mergeCell ref="C25:D25"/>
    <mergeCell ref="H26:I26"/>
    <mergeCell ref="C28:D28"/>
    <mergeCell ref="H28:I28"/>
    <mergeCell ref="C18:D18"/>
    <mergeCell ref="H18:I18"/>
    <mergeCell ref="C19:D19"/>
    <mergeCell ref="H19:I19"/>
    <mergeCell ref="C20:D20"/>
    <mergeCell ref="H20:I20"/>
    <mergeCell ref="C13:D13"/>
    <mergeCell ref="H13:I13"/>
    <mergeCell ref="C15:D15"/>
    <mergeCell ref="H15:I15"/>
    <mergeCell ref="C17:D17"/>
    <mergeCell ref="H17:I17"/>
    <mergeCell ref="B9:B10"/>
    <mergeCell ref="C9:D10"/>
    <mergeCell ref="G9:G10"/>
    <mergeCell ref="H9:I10"/>
    <mergeCell ref="D2:J2"/>
    <mergeCell ref="D3:J3"/>
    <mergeCell ref="D4:J4"/>
    <mergeCell ref="D5:J5"/>
    <mergeCell ref="D6:J6"/>
  </mergeCells>
  <pageMargins left="0.70866141732283472" right="0.70866141732283472" top="0.74803149606299213" bottom="0.74803149606299213" header="0.31496062992125984" footer="0.31496062992125984"/>
  <pageSetup scale="58" orientation="landscape" horizontalDpi="4294967295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showGridLines="0" topLeftCell="A16" workbookViewId="0">
      <selection activeCell="M20" sqref="M2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45"/>
  <sheetViews>
    <sheetView topLeftCell="A31" zoomScale="90" zoomScaleNormal="90" workbookViewId="0">
      <selection activeCell="J16" sqref="J16"/>
    </sheetView>
  </sheetViews>
  <sheetFormatPr baseColWidth="10" defaultColWidth="0" defaultRowHeight="14.25" customHeight="1" zeroHeight="1"/>
  <cols>
    <col min="1" max="1" width="2.7109375" style="324" customWidth="1"/>
    <col min="2" max="3" width="11.42578125" style="324" customWidth="1"/>
    <col min="4" max="4" width="51.28515625" style="324" customWidth="1"/>
    <col min="5" max="5" width="20.85546875" style="324" customWidth="1"/>
    <col min="6" max="6" width="26.85546875" style="324" bestFit="1" customWidth="1"/>
    <col min="7" max="10" width="20.85546875" style="324" customWidth="1"/>
    <col min="11" max="11" width="2.85546875" style="324" customWidth="1"/>
    <col min="12" max="16384" width="11.42578125" style="324" hidden="1"/>
  </cols>
  <sheetData>
    <row r="1" spans="2:10" ht="8.25" customHeight="1"/>
    <row r="2" spans="2:10" ht="15">
      <c r="B2" s="691" t="s">
        <v>0</v>
      </c>
      <c r="C2" s="692"/>
      <c r="D2" s="692"/>
      <c r="E2" s="692"/>
      <c r="F2" s="692"/>
      <c r="G2" s="692"/>
      <c r="H2" s="692"/>
      <c r="I2" s="692"/>
      <c r="J2" s="693"/>
    </row>
    <row r="3" spans="2:10" ht="15">
      <c r="B3" s="694" t="s">
        <v>4</v>
      </c>
      <c r="C3" s="695"/>
      <c r="D3" s="695"/>
      <c r="E3" s="695"/>
      <c r="F3" s="695"/>
      <c r="G3" s="695"/>
      <c r="H3" s="695"/>
      <c r="I3" s="695"/>
      <c r="J3" s="696"/>
    </row>
    <row r="4" spans="2:10" ht="15">
      <c r="B4" s="697" t="s">
        <v>369</v>
      </c>
      <c r="C4" s="698"/>
      <c r="D4" s="698"/>
      <c r="E4" s="698"/>
      <c r="F4" s="698"/>
      <c r="G4" s="698"/>
      <c r="H4" s="698"/>
      <c r="I4" s="698"/>
      <c r="J4" s="699"/>
    </row>
    <row r="5" spans="2:10" ht="15">
      <c r="B5" s="697" t="s">
        <v>415</v>
      </c>
      <c r="C5" s="698"/>
      <c r="D5" s="698"/>
      <c r="E5" s="698"/>
      <c r="F5" s="698"/>
      <c r="G5" s="698"/>
      <c r="H5" s="698"/>
      <c r="I5" s="698"/>
      <c r="J5" s="699"/>
    </row>
    <row r="6" spans="2:10" ht="15">
      <c r="B6" s="356"/>
      <c r="C6" s="357"/>
      <c r="D6" s="358"/>
      <c r="E6" s="358"/>
      <c r="F6" s="358"/>
      <c r="G6" s="358"/>
      <c r="H6" s="358"/>
      <c r="I6" s="358"/>
      <c r="J6" s="359"/>
    </row>
    <row r="7" spans="2:10">
      <c r="B7" s="234"/>
      <c r="C7" s="234"/>
      <c r="D7" s="234"/>
      <c r="E7" s="234"/>
      <c r="F7" s="234"/>
      <c r="G7" s="234"/>
      <c r="H7" s="234"/>
      <c r="I7" s="234"/>
      <c r="J7" s="234"/>
    </row>
    <row r="8" spans="2:10">
      <c r="B8" s="649" t="s">
        <v>67</v>
      </c>
      <c r="C8" s="700"/>
      <c r="D8" s="657"/>
      <c r="E8" s="678" t="s">
        <v>250</v>
      </c>
      <c r="F8" s="703"/>
      <c r="G8" s="703"/>
      <c r="H8" s="703"/>
      <c r="I8" s="679"/>
      <c r="J8" s="661" t="s">
        <v>233</v>
      </c>
    </row>
    <row r="9" spans="2:10">
      <c r="B9" s="658"/>
      <c r="C9" s="701"/>
      <c r="D9" s="659"/>
      <c r="E9" s="328" t="s">
        <v>234</v>
      </c>
      <c r="F9" s="360" t="s">
        <v>235</v>
      </c>
      <c r="G9" s="360" t="s">
        <v>206</v>
      </c>
      <c r="H9" s="360" t="s">
        <v>207</v>
      </c>
      <c r="I9" s="361" t="s">
        <v>236</v>
      </c>
      <c r="J9" s="704"/>
    </row>
    <row r="10" spans="2:10">
      <c r="B10" s="650"/>
      <c r="C10" s="702"/>
      <c r="D10" s="660"/>
      <c r="E10" s="362">
        <v>1</v>
      </c>
      <c r="F10" s="362">
        <v>2</v>
      </c>
      <c r="G10" s="362" t="s">
        <v>237</v>
      </c>
      <c r="H10" s="362">
        <v>4</v>
      </c>
      <c r="I10" s="363">
        <v>5</v>
      </c>
      <c r="J10" s="362" t="s">
        <v>238</v>
      </c>
    </row>
    <row r="11" spans="2:10" s="365" customFormat="1">
      <c r="B11" s="686" t="s">
        <v>370</v>
      </c>
      <c r="C11" s="687"/>
      <c r="D11" s="688"/>
      <c r="E11" s="364">
        <f t="shared" ref="E11:J11" si="0">SUM(E12,E15,E24,E28,E31,E36)</f>
        <v>27688761</v>
      </c>
      <c r="F11" s="364">
        <f t="shared" si="0"/>
        <v>20499143</v>
      </c>
      <c r="G11" s="364">
        <f t="shared" si="0"/>
        <v>48187904</v>
      </c>
      <c r="H11" s="364">
        <f t="shared" si="0"/>
        <v>30563776</v>
      </c>
      <c r="I11" s="364">
        <f t="shared" si="0"/>
        <v>29756491</v>
      </c>
      <c r="J11" s="364">
        <f t="shared" si="0"/>
        <v>17624128</v>
      </c>
    </row>
    <row r="12" spans="2:10" s="365" customFormat="1" ht="28.5" customHeight="1">
      <c r="B12" s="366"/>
      <c r="C12" s="684" t="s">
        <v>371</v>
      </c>
      <c r="D12" s="685"/>
      <c r="E12" s="367">
        <f t="shared" ref="E12:J12" si="1">SUM(E13:E14)</f>
        <v>0</v>
      </c>
      <c r="F12" s="367">
        <f t="shared" si="1"/>
        <v>0</v>
      </c>
      <c r="G12" s="367">
        <f t="shared" si="1"/>
        <v>0</v>
      </c>
      <c r="H12" s="367">
        <f t="shared" si="1"/>
        <v>0</v>
      </c>
      <c r="I12" s="367">
        <f t="shared" si="1"/>
        <v>0</v>
      </c>
      <c r="J12" s="367">
        <f t="shared" si="1"/>
        <v>0</v>
      </c>
    </row>
    <row r="13" spans="2:10" s="365" customFormat="1">
      <c r="B13" s="366"/>
      <c r="C13" s="368"/>
      <c r="D13" s="369" t="s">
        <v>372</v>
      </c>
      <c r="E13" s="370"/>
      <c r="F13" s="371"/>
      <c r="G13" s="372">
        <f t="shared" ref="G13:G40" si="2">IF(AND(F13&gt;=0,E13&gt;=0),SUM(E13:F13),"-")</f>
        <v>0</v>
      </c>
      <c r="H13" s="371"/>
      <c r="I13" s="371"/>
      <c r="J13" s="373">
        <f t="shared" ref="J13:J40" si="3">IF(AND(H13&gt;=0,G13&gt;=0),(G13-H13),"-")</f>
        <v>0</v>
      </c>
    </row>
    <row r="14" spans="2:10" s="365" customFormat="1">
      <c r="B14" s="366"/>
      <c r="C14" s="368"/>
      <c r="D14" s="369" t="s">
        <v>373</v>
      </c>
      <c r="E14" s="370"/>
      <c r="F14" s="371"/>
      <c r="G14" s="372">
        <f t="shared" si="2"/>
        <v>0</v>
      </c>
      <c r="H14" s="371"/>
      <c r="I14" s="371"/>
      <c r="J14" s="373">
        <f t="shared" si="3"/>
        <v>0</v>
      </c>
    </row>
    <row r="15" spans="2:10" s="365" customFormat="1">
      <c r="B15" s="366"/>
      <c r="C15" s="684" t="s">
        <v>374</v>
      </c>
      <c r="D15" s="685"/>
      <c r="E15" s="367">
        <f t="shared" ref="E15:J15" si="4">SUM(E16:E23)</f>
        <v>27688761</v>
      </c>
      <c r="F15" s="367">
        <f t="shared" si="4"/>
        <v>20499143</v>
      </c>
      <c r="G15" s="367">
        <f t="shared" si="4"/>
        <v>48187904</v>
      </c>
      <c r="H15" s="367">
        <f t="shared" si="4"/>
        <v>30563776</v>
      </c>
      <c r="I15" s="367">
        <f t="shared" si="4"/>
        <v>29756491</v>
      </c>
      <c r="J15" s="367">
        <f t="shared" si="4"/>
        <v>17624128</v>
      </c>
    </row>
    <row r="16" spans="2:10" s="365" customFormat="1">
      <c r="B16" s="366"/>
      <c r="C16" s="368"/>
      <c r="D16" s="369" t="s">
        <v>375</v>
      </c>
      <c r="E16" s="370">
        <v>27688761</v>
      </c>
      <c r="F16" s="371">
        <v>20499143</v>
      </c>
      <c r="G16" s="372">
        <f t="shared" si="2"/>
        <v>48187904</v>
      </c>
      <c r="H16" s="371">
        <v>30563776</v>
      </c>
      <c r="I16" s="371">
        <v>29756491</v>
      </c>
      <c r="J16" s="373">
        <f t="shared" si="3"/>
        <v>17624128</v>
      </c>
    </row>
    <row r="17" spans="2:10" s="365" customFormat="1">
      <c r="B17" s="366"/>
      <c r="C17" s="368"/>
      <c r="D17" s="369" t="s">
        <v>376</v>
      </c>
      <c r="E17" s="370"/>
      <c r="F17" s="371"/>
      <c r="G17" s="372">
        <f t="shared" si="2"/>
        <v>0</v>
      </c>
      <c r="H17" s="371"/>
      <c r="I17" s="371"/>
      <c r="J17" s="373">
        <f t="shared" si="3"/>
        <v>0</v>
      </c>
    </row>
    <row r="18" spans="2:10" s="365" customFormat="1">
      <c r="B18" s="366"/>
      <c r="C18" s="368"/>
      <c r="D18" s="369" t="s">
        <v>377</v>
      </c>
      <c r="E18" s="370"/>
      <c r="F18" s="371"/>
      <c r="G18" s="372">
        <f t="shared" si="2"/>
        <v>0</v>
      </c>
      <c r="H18" s="371"/>
      <c r="I18" s="371"/>
      <c r="J18" s="373">
        <f t="shared" si="3"/>
        <v>0</v>
      </c>
    </row>
    <row r="19" spans="2:10" s="365" customFormat="1">
      <c r="B19" s="366"/>
      <c r="C19" s="368"/>
      <c r="D19" s="369" t="s">
        <v>378</v>
      </c>
      <c r="E19" s="370"/>
      <c r="F19" s="371"/>
      <c r="G19" s="372">
        <f t="shared" si="2"/>
        <v>0</v>
      </c>
      <c r="H19" s="371"/>
      <c r="I19" s="371"/>
      <c r="J19" s="373">
        <f t="shared" si="3"/>
        <v>0</v>
      </c>
    </row>
    <row r="20" spans="2:10" s="365" customFormat="1">
      <c r="B20" s="366"/>
      <c r="C20" s="368"/>
      <c r="D20" s="369" t="s">
        <v>379</v>
      </c>
      <c r="E20" s="370"/>
      <c r="F20" s="371"/>
      <c r="G20" s="372">
        <f t="shared" si="2"/>
        <v>0</v>
      </c>
      <c r="H20" s="371"/>
      <c r="I20" s="371"/>
      <c r="J20" s="373">
        <f t="shared" si="3"/>
        <v>0</v>
      </c>
    </row>
    <row r="21" spans="2:10" s="365" customFormat="1" ht="24">
      <c r="B21" s="366"/>
      <c r="C21" s="368"/>
      <c r="D21" s="369" t="s">
        <v>380</v>
      </c>
      <c r="E21" s="370"/>
      <c r="F21" s="371"/>
      <c r="G21" s="372">
        <f t="shared" si="2"/>
        <v>0</v>
      </c>
      <c r="H21" s="371"/>
      <c r="I21" s="371"/>
      <c r="J21" s="373">
        <f t="shared" si="3"/>
        <v>0</v>
      </c>
    </row>
    <row r="22" spans="2:10" s="365" customFormat="1">
      <c r="B22" s="366"/>
      <c r="C22" s="368"/>
      <c r="D22" s="369" t="s">
        <v>381</v>
      </c>
      <c r="E22" s="370"/>
      <c r="F22" s="371"/>
      <c r="G22" s="372">
        <f t="shared" si="2"/>
        <v>0</v>
      </c>
      <c r="H22" s="371"/>
      <c r="I22" s="371"/>
      <c r="J22" s="373">
        <f t="shared" si="3"/>
        <v>0</v>
      </c>
    </row>
    <row r="23" spans="2:10" s="365" customFormat="1">
      <c r="B23" s="366"/>
      <c r="C23" s="368"/>
      <c r="D23" s="369" t="s">
        <v>382</v>
      </c>
      <c r="E23" s="370"/>
      <c r="F23" s="371"/>
      <c r="G23" s="372">
        <f t="shared" si="2"/>
        <v>0</v>
      </c>
      <c r="H23" s="371"/>
      <c r="I23" s="371"/>
      <c r="J23" s="373">
        <f t="shared" si="3"/>
        <v>0</v>
      </c>
    </row>
    <row r="24" spans="2:10" s="365" customFormat="1">
      <c r="B24" s="366"/>
      <c r="C24" s="684" t="s">
        <v>383</v>
      </c>
      <c r="D24" s="685"/>
      <c r="E24" s="367">
        <f t="shared" ref="E24:J24" si="5">SUM(E25:E27)</f>
        <v>0</v>
      </c>
      <c r="F24" s="367">
        <f t="shared" si="5"/>
        <v>0</v>
      </c>
      <c r="G24" s="367">
        <f t="shared" si="5"/>
        <v>0</v>
      </c>
      <c r="H24" s="367">
        <f t="shared" si="5"/>
        <v>0</v>
      </c>
      <c r="I24" s="367">
        <f t="shared" si="5"/>
        <v>0</v>
      </c>
      <c r="J24" s="367">
        <f t="shared" si="5"/>
        <v>0</v>
      </c>
    </row>
    <row r="25" spans="2:10" s="365" customFormat="1" ht="36" customHeight="1">
      <c r="B25" s="366"/>
      <c r="C25" s="368"/>
      <c r="D25" s="369" t="s">
        <v>384</v>
      </c>
      <c r="E25" s="370"/>
      <c r="F25" s="371"/>
      <c r="G25" s="372">
        <f t="shared" si="2"/>
        <v>0</v>
      </c>
      <c r="H25" s="371"/>
      <c r="I25" s="371"/>
      <c r="J25" s="373">
        <f t="shared" si="3"/>
        <v>0</v>
      </c>
    </row>
    <row r="26" spans="2:10" s="365" customFormat="1" ht="27" customHeight="1">
      <c r="B26" s="366"/>
      <c r="C26" s="368"/>
      <c r="D26" s="369" t="s">
        <v>385</v>
      </c>
      <c r="E26" s="370"/>
      <c r="F26" s="371"/>
      <c r="G26" s="372">
        <f t="shared" si="2"/>
        <v>0</v>
      </c>
      <c r="H26" s="371"/>
      <c r="I26" s="371"/>
      <c r="J26" s="373">
        <f t="shared" si="3"/>
        <v>0</v>
      </c>
    </row>
    <row r="27" spans="2:10" s="365" customFormat="1">
      <c r="B27" s="366"/>
      <c r="C27" s="368"/>
      <c r="D27" s="369" t="s">
        <v>386</v>
      </c>
      <c r="E27" s="370"/>
      <c r="F27" s="371"/>
      <c r="G27" s="372">
        <f t="shared" si="2"/>
        <v>0</v>
      </c>
      <c r="H27" s="371"/>
      <c r="I27" s="371"/>
      <c r="J27" s="373">
        <f t="shared" si="3"/>
        <v>0</v>
      </c>
    </row>
    <row r="28" spans="2:10" s="365" customFormat="1">
      <c r="B28" s="366"/>
      <c r="C28" s="684" t="s">
        <v>387</v>
      </c>
      <c r="D28" s="685"/>
      <c r="E28" s="367">
        <f t="shared" ref="E28:J28" si="6">SUM(E29:E30)</f>
        <v>0</v>
      </c>
      <c r="F28" s="367">
        <f t="shared" si="6"/>
        <v>0</v>
      </c>
      <c r="G28" s="367">
        <f t="shared" si="6"/>
        <v>0</v>
      </c>
      <c r="H28" s="367">
        <f t="shared" si="6"/>
        <v>0</v>
      </c>
      <c r="I28" s="367">
        <f t="shared" si="6"/>
        <v>0</v>
      </c>
      <c r="J28" s="367">
        <f t="shared" si="6"/>
        <v>0</v>
      </c>
    </row>
    <row r="29" spans="2:10" s="365" customFormat="1" ht="28.5" customHeight="1">
      <c r="B29" s="366"/>
      <c r="C29" s="368"/>
      <c r="D29" s="369" t="s">
        <v>388</v>
      </c>
      <c r="E29" s="370"/>
      <c r="F29" s="371"/>
      <c r="G29" s="372">
        <f t="shared" si="2"/>
        <v>0</v>
      </c>
      <c r="H29" s="371"/>
      <c r="I29" s="371"/>
      <c r="J29" s="373">
        <f t="shared" si="3"/>
        <v>0</v>
      </c>
    </row>
    <row r="30" spans="2:10" s="365" customFormat="1" ht="21" customHeight="1">
      <c r="B30" s="366"/>
      <c r="C30" s="368"/>
      <c r="D30" s="369" t="s">
        <v>389</v>
      </c>
      <c r="E30" s="370"/>
      <c r="F30" s="371"/>
      <c r="G30" s="372">
        <f t="shared" si="2"/>
        <v>0</v>
      </c>
      <c r="H30" s="371"/>
      <c r="I30" s="371"/>
      <c r="J30" s="373">
        <f t="shared" si="3"/>
        <v>0</v>
      </c>
    </row>
    <row r="31" spans="2:10" s="365" customFormat="1">
      <c r="B31" s="366"/>
      <c r="C31" s="684" t="s">
        <v>390</v>
      </c>
      <c r="D31" s="685"/>
      <c r="E31" s="367">
        <f t="shared" ref="E31:J31" si="7">SUM(E32:E35)</f>
        <v>0</v>
      </c>
      <c r="F31" s="367">
        <f t="shared" si="7"/>
        <v>0</v>
      </c>
      <c r="G31" s="367">
        <f t="shared" si="7"/>
        <v>0</v>
      </c>
      <c r="H31" s="367">
        <f t="shared" si="7"/>
        <v>0</v>
      </c>
      <c r="I31" s="367">
        <f t="shared" si="7"/>
        <v>0</v>
      </c>
      <c r="J31" s="367">
        <f t="shared" si="7"/>
        <v>0</v>
      </c>
    </row>
    <row r="32" spans="2:10" s="365" customFormat="1">
      <c r="B32" s="366"/>
      <c r="C32" s="368"/>
      <c r="D32" s="369" t="s">
        <v>391</v>
      </c>
      <c r="E32" s="370"/>
      <c r="F32" s="371"/>
      <c r="G32" s="372">
        <f t="shared" si="2"/>
        <v>0</v>
      </c>
      <c r="H32" s="371"/>
      <c r="I32" s="371"/>
      <c r="J32" s="373">
        <f t="shared" si="3"/>
        <v>0</v>
      </c>
    </row>
    <row r="33" spans="2:10" s="365" customFormat="1">
      <c r="B33" s="366"/>
      <c r="C33" s="368"/>
      <c r="D33" s="369" t="s">
        <v>392</v>
      </c>
      <c r="E33" s="370"/>
      <c r="F33" s="371"/>
      <c r="G33" s="372">
        <f t="shared" si="2"/>
        <v>0</v>
      </c>
      <c r="H33" s="371"/>
      <c r="I33" s="371"/>
      <c r="J33" s="373">
        <f t="shared" si="3"/>
        <v>0</v>
      </c>
    </row>
    <row r="34" spans="2:10" s="365" customFormat="1">
      <c r="B34" s="366"/>
      <c r="C34" s="368"/>
      <c r="D34" s="369" t="s">
        <v>393</v>
      </c>
      <c r="E34" s="370"/>
      <c r="F34" s="371"/>
      <c r="G34" s="372">
        <f t="shared" si="2"/>
        <v>0</v>
      </c>
      <c r="H34" s="371"/>
      <c r="I34" s="371"/>
      <c r="J34" s="373">
        <f t="shared" si="3"/>
        <v>0</v>
      </c>
    </row>
    <row r="35" spans="2:10" s="365" customFormat="1" ht="24">
      <c r="B35" s="366"/>
      <c r="C35" s="368"/>
      <c r="D35" s="369" t="s">
        <v>394</v>
      </c>
      <c r="E35" s="370"/>
      <c r="F35" s="371"/>
      <c r="G35" s="372">
        <f>IF(AND(F35&gt;=0,E35&gt;=0),SUM(E35:F35),"-")</f>
        <v>0</v>
      </c>
      <c r="H35" s="371"/>
      <c r="I35" s="371"/>
      <c r="J35" s="373">
        <f t="shared" si="3"/>
        <v>0</v>
      </c>
    </row>
    <row r="36" spans="2:10" s="365" customFormat="1" ht="27" customHeight="1">
      <c r="B36" s="366"/>
      <c r="C36" s="684" t="s">
        <v>395</v>
      </c>
      <c r="D36" s="685"/>
      <c r="E36" s="367">
        <f t="shared" ref="E36:J36" si="8">SUM(E37)</f>
        <v>0</v>
      </c>
      <c r="F36" s="367">
        <f t="shared" si="8"/>
        <v>0</v>
      </c>
      <c r="G36" s="367">
        <f t="shared" si="8"/>
        <v>0</v>
      </c>
      <c r="H36" s="367">
        <f t="shared" si="8"/>
        <v>0</v>
      </c>
      <c r="I36" s="367">
        <f t="shared" si="8"/>
        <v>0</v>
      </c>
      <c r="J36" s="367">
        <f t="shared" si="8"/>
        <v>0</v>
      </c>
    </row>
    <row r="37" spans="2:10" s="365" customFormat="1">
      <c r="B37" s="366"/>
      <c r="C37" s="368"/>
      <c r="D37" s="369" t="s">
        <v>396</v>
      </c>
      <c r="E37" s="370"/>
      <c r="F37" s="371"/>
      <c r="G37" s="372">
        <f t="shared" si="2"/>
        <v>0</v>
      </c>
      <c r="H37" s="371"/>
      <c r="I37" s="371"/>
      <c r="J37" s="373">
        <f t="shared" si="3"/>
        <v>0</v>
      </c>
    </row>
    <row r="38" spans="2:10" s="365" customFormat="1" ht="16.5" customHeight="1">
      <c r="B38" s="686" t="s">
        <v>397</v>
      </c>
      <c r="C38" s="687"/>
      <c r="D38" s="688"/>
      <c r="E38" s="370"/>
      <c r="F38" s="371"/>
      <c r="G38" s="372">
        <f t="shared" si="2"/>
        <v>0</v>
      </c>
      <c r="H38" s="371"/>
      <c r="I38" s="371"/>
      <c r="J38" s="373">
        <f t="shared" si="3"/>
        <v>0</v>
      </c>
    </row>
    <row r="39" spans="2:10" s="365" customFormat="1" ht="23.25" customHeight="1">
      <c r="B39" s="686" t="s">
        <v>398</v>
      </c>
      <c r="C39" s="687"/>
      <c r="D39" s="688"/>
      <c r="E39" s="370"/>
      <c r="F39" s="371"/>
      <c r="G39" s="372">
        <f t="shared" si="2"/>
        <v>0</v>
      </c>
      <c r="H39" s="371"/>
      <c r="I39" s="371"/>
      <c r="J39" s="373">
        <f t="shared" si="3"/>
        <v>0</v>
      </c>
    </row>
    <row r="40" spans="2:10" s="365" customFormat="1" ht="15.75" customHeight="1">
      <c r="B40" s="686" t="s">
        <v>399</v>
      </c>
      <c r="C40" s="687"/>
      <c r="D40" s="688"/>
      <c r="E40" s="370"/>
      <c r="F40" s="371"/>
      <c r="G40" s="372">
        <f t="shared" si="2"/>
        <v>0</v>
      </c>
      <c r="H40" s="371"/>
      <c r="I40" s="371"/>
      <c r="J40" s="373">
        <f t="shared" si="3"/>
        <v>0</v>
      </c>
    </row>
    <row r="41" spans="2:10" s="365" customFormat="1">
      <c r="B41" s="374"/>
      <c r="C41" s="375"/>
      <c r="D41" s="376"/>
      <c r="E41" s="377"/>
      <c r="F41" s="378"/>
      <c r="G41" s="378"/>
      <c r="H41" s="378"/>
      <c r="I41" s="378"/>
      <c r="J41" s="378"/>
    </row>
    <row r="42" spans="2:10" s="365" customFormat="1">
      <c r="B42" s="379"/>
      <c r="C42" s="689" t="s">
        <v>248</v>
      </c>
      <c r="D42" s="690"/>
      <c r="E42" s="380">
        <f t="shared" ref="E42:J42" si="9">SUM(E11,E38,E39,E40)</f>
        <v>27688761</v>
      </c>
      <c r="F42" s="380">
        <f t="shared" si="9"/>
        <v>20499143</v>
      </c>
      <c r="G42" s="380">
        <f t="shared" si="9"/>
        <v>48187904</v>
      </c>
      <c r="H42" s="380">
        <f t="shared" si="9"/>
        <v>30563776</v>
      </c>
      <c r="I42" s="380">
        <f t="shared" si="9"/>
        <v>29756491</v>
      </c>
      <c r="J42" s="380">
        <f t="shared" si="9"/>
        <v>17624128</v>
      </c>
    </row>
    <row r="43" spans="2:10" s="365" customFormat="1"/>
    <row r="44" spans="2:10"/>
    <row r="45" spans="2:10"/>
  </sheetData>
  <mergeCells count="18">
    <mergeCell ref="C31:D31"/>
    <mergeCell ref="B2:J2"/>
    <mergeCell ref="B3:J3"/>
    <mergeCell ref="B4:J4"/>
    <mergeCell ref="B5:J5"/>
    <mergeCell ref="B8:D10"/>
    <mergeCell ref="E8:I8"/>
    <mergeCell ref="J8:J9"/>
    <mergeCell ref="B11:D11"/>
    <mergeCell ref="C12:D12"/>
    <mergeCell ref="C15:D15"/>
    <mergeCell ref="C24:D24"/>
    <mergeCell ref="C28:D28"/>
    <mergeCell ref="C36:D36"/>
    <mergeCell ref="B38:D38"/>
    <mergeCell ref="B39:D39"/>
    <mergeCell ref="B40:D40"/>
    <mergeCell ref="C42:D42"/>
  </mergeCells>
  <pageMargins left="0.70866141732283472" right="0.70866141732283472" top="0.74803149606299213" bottom="0.74803149606299213" header="0.31496062992125984" footer="0.31496062992125984"/>
  <pageSetup scale="59"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showGridLines="0" workbookViewId="0">
      <selection activeCell="M20" sqref="M2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showGridLines="0" workbookViewId="0">
      <selection activeCell="L45" sqref="L45"/>
    </sheetView>
  </sheetViews>
  <sheetFormatPr baseColWidth="10" defaultRowHeight="15"/>
  <sheetData/>
  <pageMargins left="0.7" right="0.7" top="0.75" bottom="0.75" header="0.3" footer="0.3"/>
  <pageSetup orientation="portrait" horizontalDpi="4294967295" verticalDpi="4294967295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"/>
  <sheetViews>
    <sheetView showGridLines="0" workbookViewId="0">
      <selection activeCell="K16" sqref="K1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K2839"/>
  <sheetViews>
    <sheetView workbookViewId="0">
      <selection activeCell="H3" sqref="H3:J3"/>
    </sheetView>
  </sheetViews>
  <sheetFormatPr baseColWidth="10" defaultColWidth="0" defaultRowHeight="15" customHeight="1" zeroHeight="1"/>
  <cols>
    <col min="1" max="8" width="9.42578125" style="495" customWidth="1"/>
    <col min="9" max="9" width="52" customWidth="1"/>
    <col min="10" max="10" width="20.85546875" customWidth="1"/>
    <col min="11" max="11" width="0" hidden="1" customWidth="1"/>
    <col min="12" max="16384" width="11.42578125" hidden="1"/>
  </cols>
  <sheetData>
    <row r="1" spans="1:10">
      <c r="A1" s="461"/>
      <c r="B1" s="461"/>
      <c r="C1" s="461"/>
      <c r="D1" s="461"/>
      <c r="E1" s="461"/>
      <c r="F1" s="461"/>
      <c r="G1" s="461"/>
      <c r="H1" s="705" t="s">
        <v>400</v>
      </c>
      <c r="I1" s="705"/>
      <c r="J1" s="705"/>
    </row>
    <row r="2" spans="1:10">
      <c r="A2" s="461"/>
      <c r="B2" s="461"/>
      <c r="C2" s="461"/>
      <c r="D2" s="461"/>
      <c r="E2" s="461"/>
      <c r="F2" s="461"/>
      <c r="G2" s="461"/>
      <c r="H2" s="705" t="s">
        <v>412</v>
      </c>
      <c r="I2" s="705"/>
      <c r="J2" s="705"/>
    </row>
    <row r="3" spans="1:10">
      <c r="A3" s="461"/>
      <c r="B3" s="461"/>
      <c r="C3" s="461"/>
      <c r="D3" s="461"/>
      <c r="E3" s="461"/>
      <c r="F3" s="461"/>
      <c r="G3" s="461"/>
      <c r="H3" s="705" t="s">
        <v>2</v>
      </c>
      <c r="I3" s="705"/>
      <c r="J3" s="705"/>
    </row>
    <row r="4" spans="1:10">
      <c r="A4" s="462"/>
      <c r="B4" s="462"/>
      <c r="C4" s="462"/>
      <c r="D4" s="462"/>
      <c r="E4" s="462"/>
      <c r="F4" s="462"/>
      <c r="G4" s="462"/>
      <c r="H4" s="463" t="s">
        <v>3</v>
      </c>
      <c r="I4" s="706" t="s">
        <v>421</v>
      </c>
      <c r="J4" s="706"/>
    </row>
    <row r="5" spans="1:10" s="388" customFormat="1">
      <c r="A5" s="464"/>
      <c r="B5" s="464"/>
      <c r="C5" s="464"/>
      <c r="D5" s="464"/>
      <c r="E5" s="464"/>
      <c r="F5" s="464"/>
      <c r="G5" s="464"/>
      <c r="H5" s="465"/>
      <c r="I5" s="386"/>
      <c r="J5" s="386"/>
    </row>
    <row r="6" spans="1:10" s="388" customFormat="1">
      <c r="A6" s="466"/>
      <c r="B6" s="466"/>
      <c r="C6" s="466"/>
      <c r="D6" s="466"/>
      <c r="E6" s="466"/>
      <c r="F6" s="466"/>
      <c r="G6" s="466"/>
      <c r="H6" s="467"/>
      <c r="I6" s="389"/>
      <c r="J6" s="389"/>
    </row>
    <row r="7" spans="1:10">
      <c r="A7" s="707" t="s">
        <v>401</v>
      </c>
      <c r="B7" s="708"/>
      <c r="C7" s="708"/>
      <c r="D7" s="708"/>
      <c r="E7" s="708"/>
      <c r="F7" s="708"/>
      <c r="G7" s="708"/>
      <c r="H7" s="708"/>
      <c r="I7" s="391" t="s">
        <v>402</v>
      </c>
      <c r="J7" s="391" t="s">
        <v>403</v>
      </c>
    </row>
    <row r="8" spans="1:10" ht="3" customHeight="1">
      <c r="A8" s="468"/>
      <c r="B8" s="469"/>
      <c r="C8" s="469"/>
      <c r="D8" s="469"/>
      <c r="E8" s="469"/>
      <c r="F8" s="469"/>
      <c r="G8" s="469"/>
      <c r="H8" s="470"/>
      <c r="I8" s="394"/>
      <c r="J8" s="394"/>
    </row>
    <row r="9" spans="1:10" ht="20.25" customHeight="1">
      <c r="A9" s="471">
        <v>5111</v>
      </c>
      <c r="B9" s="472" t="s">
        <v>445</v>
      </c>
      <c r="C9" s="473">
        <v>8</v>
      </c>
      <c r="D9" s="471">
        <v>449</v>
      </c>
      <c r="E9" s="474">
        <v>38741</v>
      </c>
      <c r="F9" s="475" t="s">
        <v>446</v>
      </c>
      <c r="G9" s="476">
        <v>1</v>
      </c>
      <c r="H9" s="475" t="s">
        <v>447</v>
      </c>
      <c r="I9" s="478" t="s">
        <v>448</v>
      </c>
      <c r="J9" s="496">
        <v>1543.99</v>
      </c>
    </row>
    <row r="10" spans="1:10" ht="20.25" customHeight="1">
      <c r="A10" s="471">
        <v>5111</v>
      </c>
      <c r="B10" s="472" t="s">
        <v>445</v>
      </c>
      <c r="C10" s="473">
        <v>9</v>
      </c>
      <c r="D10" s="471">
        <v>449</v>
      </c>
      <c r="E10" s="474">
        <v>38741</v>
      </c>
      <c r="F10" s="475" t="s">
        <v>446</v>
      </c>
      <c r="G10" s="476">
        <v>1</v>
      </c>
      <c r="H10" s="475" t="s">
        <v>447</v>
      </c>
      <c r="I10" s="478" t="s">
        <v>448</v>
      </c>
      <c r="J10" s="496">
        <v>1543.99</v>
      </c>
    </row>
    <row r="11" spans="1:10" ht="20.25" customHeight="1">
      <c r="A11" s="471">
        <v>5111</v>
      </c>
      <c r="B11" s="472" t="s">
        <v>445</v>
      </c>
      <c r="C11" s="473">
        <v>10</v>
      </c>
      <c r="D11" s="471">
        <v>449</v>
      </c>
      <c r="E11" s="474">
        <v>38741</v>
      </c>
      <c r="F11" s="475" t="s">
        <v>446</v>
      </c>
      <c r="G11" s="476">
        <v>1</v>
      </c>
      <c r="H11" s="475" t="s">
        <v>447</v>
      </c>
      <c r="I11" s="478" t="s">
        <v>448</v>
      </c>
      <c r="J11" s="496">
        <v>1543.99</v>
      </c>
    </row>
    <row r="12" spans="1:10" ht="20.25" customHeight="1">
      <c r="A12" s="471">
        <v>5111</v>
      </c>
      <c r="B12" s="472" t="s">
        <v>445</v>
      </c>
      <c r="C12" s="473">
        <v>11</v>
      </c>
      <c r="D12" s="471">
        <v>449</v>
      </c>
      <c r="E12" s="474">
        <v>38741</v>
      </c>
      <c r="F12" s="475" t="s">
        <v>446</v>
      </c>
      <c r="G12" s="476">
        <v>1</v>
      </c>
      <c r="H12" s="475" t="s">
        <v>447</v>
      </c>
      <c r="I12" s="478" t="s">
        <v>448</v>
      </c>
      <c r="J12" s="496">
        <v>1543.99</v>
      </c>
    </row>
    <row r="13" spans="1:10" ht="20.25" customHeight="1">
      <c r="A13" s="471">
        <v>5111</v>
      </c>
      <c r="B13" s="472" t="s">
        <v>445</v>
      </c>
      <c r="C13" s="473">
        <v>12</v>
      </c>
      <c r="D13" s="471">
        <v>449</v>
      </c>
      <c r="E13" s="474">
        <v>38741</v>
      </c>
      <c r="F13" s="475" t="s">
        <v>446</v>
      </c>
      <c r="G13" s="476">
        <v>1</v>
      </c>
      <c r="H13" s="475" t="s">
        <v>447</v>
      </c>
      <c r="I13" s="478" t="s">
        <v>448</v>
      </c>
      <c r="J13" s="496">
        <v>1543.99</v>
      </c>
    </row>
    <row r="14" spans="1:10" ht="20.25" customHeight="1">
      <c r="A14" s="471">
        <v>5111</v>
      </c>
      <c r="B14" s="472" t="s">
        <v>445</v>
      </c>
      <c r="C14" s="473">
        <v>13</v>
      </c>
      <c r="D14" s="471">
        <v>449</v>
      </c>
      <c r="E14" s="474">
        <v>38741</v>
      </c>
      <c r="F14" s="475" t="s">
        <v>446</v>
      </c>
      <c r="G14" s="476">
        <v>2</v>
      </c>
      <c r="H14" s="475" t="s">
        <v>449</v>
      </c>
      <c r="I14" s="478" t="s">
        <v>450</v>
      </c>
      <c r="J14" s="496">
        <v>320.85000000000002</v>
      </c>
    </row>
    <row r="15" spans="1:10" ht="20.25" customHeight="1">
      <c r="A15" s="471">
        <v>5111</v>
      </c>
      <c r="B15" s="472" t="s">
        <v>445</v>
      </c>
      <c r="C15" s="473">
        <v>1</v>
      </c>
      <c r="D15" s="471">
        <v>449</v>
      </c>
      <c r="E15" s="474">
        <v>38741</v>
      </c>
      <c r="F15" s="475" t="s">
        <v>446</v>
      </c>
      <c r="G15" s="476">
        <v>3</v>
      </c>
      <c r="H15" s="475" t="s">
        <v>451</v>
      </c>
      <c r="I15" s="478" t="s">
        <v>452</v>
      </c>
      <c r="J15" s="496">
        <f t="shared" ref="J15:J20" si="0">2120*1.15</f>
        <v>2438</v>
      </c>
    </row>
    <row r="16" spans="1:10" ht="20.25" customHeight="1">
      <c r="A16" s="471">
        <v>5111</v>
      </c>
      <c r="B16" s="472" t="s">
        <v>445</v>
      </c>
      <c r="C16" s="473">
        <v>2</v>
      </c>
      <c r="D16" s="471">
        <v>449</v>
      </c>
      <c r="E16" s="474">
        <v>38741</v>
      </c>
      <c r="F16" s="475" t="s">
        <v>446</v>
      </c>
      <c r="G16" s="476">
        <v>3</v>
      </c>
      <c r="H16" s="475" t="s">
        <v>451</v>
      </c>
      <c r="I16" s="478" t="s">
        <v>453</v>
      </c>
      <c r="J16" s="496">
        <f t="shared" si="0"/>
        <v>2438</v>
      </c>
    </row>
    <row r="17" spans="1:10" ht="20.25" customHeight="1">
      <c r="A17" s="471">
        <v>5111</v>
      </c>
      <c r="B17" s="472" t="s">
        <v>445</v>
      </c>
      <c r="C17" s="473">
        <v>3</v>
      </c>
      <c r="D17" s="471">
        <v>449</v>
      </c>
      <c r="E17" s="474">
        <v>38741</v>
      </c>
      <c r="F17" s="475" t="s">
        <v>446</v>
      </c>
      <c r="G17" s="476">
        <v>3</v>
      </c>
      <c r="H17" s="475" t="s">
        <v>451</v>
      </c>
      <c r="I17" s="478" t="s">
        <v>453</v>
      </c>
      <c r="J17" s="496">
        <f t="shared" si="0"/>
        <v>2438</v>
      </c>
    </row>
    <row r="18" spans="1:10" ht="20.25" customHeight="1">
      <c r="A18" s="471">
        <v>5111</v>
      </c>
      <c r="B18" s="472" t="s">
        <v>445</v>
      </c>
      <c r="C18" s="473">
        <v>4</v>
      </c>
      <c r="D18" s="471">
        <v>449</v>
      </c>
      <c r="E18" s="474">
        <v>38741</v>
      </c>
      <c r="F18" s="475" t="s">
        <v>446</v>
      </c>
      <c r="G18" s="476">
        <v>3</v>
      </c>
      <c r="H18" s="475" t="s">
        <v>451</v>
      </c>
      <c r="I18" s="478" t="s">
        <v>452</v>
      </c>
      <c r="J18" s="496">
        <f t="shared" si="0"/>
        <v>2438</v>
      </c>
    </row>
    <row r="19" spans="1:10" ht="20.25" customHeight="1">
      <c r="A19" s="471">
        <v>5111</v>
      </c>
      <c r="B19" s="472" t="s">
        <v>445</v>
      </c>
      <c r="C19" s="473">
        <v>5</v>
      </c>
      <c r="D19" s="471">
        <v>449</v>
      </c>
      <c r="E19" s="474">
        <v>38741</v>
      </c>
      <c r="F19" s="475" t="s">
        <v>446</v>
      </c>
      <c r="G19" s="476">
        <v>3</v>
      </c>
      <c r="H19" s="475" t="s">
        <v>451</v>
      </c>
      <c r="I19" s="478" t="s">
        <v>452</v>
      </c>
      <c r="J19" s="496">
        <f t="shared" si="0"/>
        <v>2438</v>
      </c>
    </row>
    <row r="20" spans="1:10" ht="20.25" customHeight="1">
      <c r="A20" s="471">
        <v>5111</v>
      </c>
      <c r="B20" s="472" t="s">
        <v>445</v>
      </c>
      <c r="C20" s="473">
        <v>6</v>
      </c>
      <c r="D20" s="471">
        <v>449</v>
      </c>
      <c r="E20" s="474">
        <v>38741</v>
      </c>
      <c r="F20" s="475" t="s">
        <v>446</v>
      </c>
      <c r="G20" s="476">
        <v>3</v>
      </c>
      <c r="H20" s="475" t="s">
        <v>451</v>
      </c>
      <c r="I20" s="478" t="s">
        <v>452</v>
      </c>
      <c r="J20" s="496">
        <f t="shared" si="0"/>
        <v>2438</v>
      </c>
    </row>
    <row r="21" spans="1:10" ht="20.25" customHeight="1">
      <c r="A21" s="471">
        <v>5111</v>
      </c>
      <c r="B21" s="472" t="s">
        <v>445</v>
      </c>
      <c r="C21" s="473">
        <v>7</v>
      </c>
      <c r="D21" s="471">
        <v>449</v>
      </c>
      <c r="E21" s="474">
        <v>38741</v>
      </c>
      <c r="F21" s="475" t="s">
        <v>446</v>
      </c>
      <c r="G21" s="476">
        <v>3</v>
      </c>
      <c r="H21" s="475" t="s">
        <v>451</v>
      </c>
      <c r="I21" s="478" t="s">
        <v>454</v>
      </c>
      <c r="J21" s="496">
        <v>2758.85</v>
      </c>
    </row>
    <row r="22" spans="1:10" ht="20.25" customHeight="1">
      <c r="A22" s="471">
        <v>5111</v>
      </c>
      <c r="B22" s="472" t="s">
        <v>445</v>
      </c>
      <c r="C22" s="473">
        <v>14</v>
      </c>
      <c r="D22" s="471">
        <v>450</v>
      </c>
      <c r="E22" s="474">
        <v>38741</v>
      </c>
      <c r="F22" s="475" t="s">
        <v>446</v>
      </c>
      <c r="G22" s="476">
        <v>4</v>
      </c>
      <c r="H22" s="475" t="s">
        <v>455</v>
      </c>
      <c r="I22" s="478" t="s">
        <v>456</v>
      </c>
      <c r="J22" s="496">
        <v>531.29999999999995</v>
      </c>
    </row>
    <row r="23" spans="1:10" ht="20.25" customHeight="1">
      <c r="A23" s="471">
        <v>5111</v>
      </c>
      <c r="B23" s="472" t="s">
        <v>445</v>
      </c>
      <c r="C23" s="473">
        <v>15</v>
      </c>
      <c r="D23" s="471">
        <v>450</v>
      </c>
      <c r="E23" s="474">
        <v>38741</v>
      </c>
      <c r="F23" s="475" t="s">
        <v>446</v>
      </c>
      <c r="G23" s="476">
        <v>4</v>
      </c>
      <c r="H23" s="475" t="s">
        <v>455</v>
      </c>
      <c r="I23" s="478" t="s">
        <v>456</v>
      </c>
      <c r="J23" s="496">
        <v>531.29999999999995</v>
      </c>
    </row>
    <row r="24" spans="1:10" ht="20.25" customHeight="1">
      <c r="A24" s="471">
        <v>5111</v>
      </c>
      <c r="B24" s="472" t="s">
        <v>445</v>
      </c>
      <c r="C24" s="473">
        <v>16</v>
      </c>
      <c r="D24" s="471">
        <v>450</v>
      </c>
      <c r="E24" s="474">
        <v>38741</v>
      </c>
      <c r="F24" s="475" t="s">
        <v>446</v>
      </c>
      <c r="G24" s="476">
        <v>4</v>
      </c>
      <c r="H24" s="475" t="s">
        <v>455</v>
      </c>
      <c r="I24" s="478" t="s">
        <v>456</v>
      </c>
      <c r="J24" s="496">
        <v>531.29999999999995</v>
      </c>
    </row>
    <row r="25" spans="1:10" ht="20.25" customHeight="1">
      <c r="A25" s="471">
        <v>5111</v>
      </c>
      <c r="B25" s="472" t="s">
        <v>445</v>
      </c>
      <c r="C25" s="473">
        <v>17</v>
      </c>
      <c r="D25" s="471">
        <v>450</v>
      </c>
      <c r="E25" s="474">
        <v>38741</v>
      </c>
      <c r="F25" s="475" t="s">
        <v>446</v>
      </c>
      <c r="G25" s="476">
        <v>4</v>
      </c>
      <c r="H25" s="475" t="s">
        <v>455</v>
      </c>
      <c r="I25" s="478" t="s">
        <v>456</v>
      </c>
      <c r="J25" s="496">
        <v>531.29999999999995</v>
      </c>
    </row>
    <row r="26" spans="1:10" ht="20.25" customHeight="1">
      <c r="A26" s="471">
        <v>5111</v>
      </c>
      <c r="B26" s="472" t="s">
        <v>445</v>
      </c>
      <c r="C26" s="473">
        <v>18</v>
      </c>
      <c r="D26" s="471">
        <v>450</v>
      </c>
      <c r="E26" s="474">
        <v>38741</v>
      </c>
      <c r="F26" s="475" t="s">
        <v>446</v>
      </c>
      <c r="G26" s="476">
        <v>4</v>
      </c>
      <c r="H26" s="475" t="s">
        <v>455</v>
      </c>
      <c r="I26" s="478" t="s">
        <v>456</v>
      </c>
      <c r="J26" s="496">
        <v>531.29999999999995</v>
      </c>
    </row>
    <row r="27" spans="1:10" ht="20.25" customHeight="1">
      <c r="A27" s="471">
        <v>5111</v>
      </c>
      <c r="B27" s="472" t="s">
        <v>445</v>
      </c>
      <c r="C27" s="473">
        <v>19</v>
      </c>
      <c r="D27" s="471">
        <v>450</v>
      </c>
      <c r="E27" s="474">
        <v>38741</v>
      </c>
      <c r="F27" s="475" t="s">
        <v>446</v>
      </c>
      <c r="G27" s="476">
        <v>4</v>
      </c>
      <c r="H27" s="475" t="s">
        <v>455</v>
      </c>
      <c r="I27" s="478" t="s">
        <v>456</v>
      </c>
      <c r="J27" s="496">
        <v>531.29999999999995</v>
      </c>
    </row>
    <row r="28" spans="1:10" ht="20.25" customHeight="1">
      <c r="A28" s="471">
        <v>5111</v>
      </c>
      <c r="B28" s="472" t="s">
        <v>445</v>
      </c>
      <c r="C28" s="473">
        <v>20</v>
      </c>
      <c r="D28" s="471">
        <v>450</v>
      </c>
      <c r="E28" s="474">
        <v>38741</v>
      </c>
      <c r="F28" s="475" t="s">
        <v>446</v>
      </c>
      <c r="G28" s="476">
        <v>4</v>
      </c>
      <c r="H28" s="475" t="s">
        <v>455</v>
      </c>
      <c r="I28" s="478" t="s">
        <v>457</v>
      </c>
      <c r="J28" s="496">
        <v>953.35</v>
      </c>
    </row>
    <row r="29" spans="1:10" ht="20.25" customHeight="1">
      <c r="A29" s="471">
        <v>5111</v>
      </c>
      <c r="B29" s="472" t="s">
        <v>445</v>
      </c>
      <c r="C29" s="473">
        <v>21</v>
      </c>
      <c r="D29" s="471">
        <v>450</v>
      </c>
      <c r="E29" s="474">
        <v>38741</v>
      </c>
      <c r="F29" s="475" t="s">
        <v>446</v>
      </c>
      <c r="G29" s="476">
        <v>5</v>
      </c>
      <c r="H29" s="475" t="s">
        <v>458</v>
      </c>
      <c r="I29" s="478" t="s">
        <v>459</v>
      </c>
      <c r="J29" s="496">
        <v>1966.5</v>
      </c>
    </row>
    <row r="30" spans="1:10" ht="20.25" customHeight="1">
      <c r="A30" s="471">
        <v>5111</v>
      </c>
      <c r="B30" s="472" t="s">
        <v>445</v>
      </c>
      <c r="C30" s="473">
        <v>22</v>
      </c>
      <c r="D30" s="471">
        <v>450</v>
      </c>
      <c r="E30" s="474">
        <v>38741</v>
      </c>
      <c r="F30" s="475" t="s">
        <v>446</v>
      </c>
      <c r="G30" s="476">
        <v>5</v>
      </c>
      <c r="H30" s="475" t="s">
        <v>458</v>
      </c>
      <c r="I30" s="478" t="s">
        <v>459</v>
      </c>
      <c r="J30" s="496">
        <v>1966.5</v>
      </c>
    </row>
    <row r="31" spans="1:10" ht="20.25" customHeight="1">
      <c r="A31" s="471">
        <v>5111</v>
      </c>
      <c r="B31" s="472" t="s">
        <v>445</v>
      </c>
      <c r="C31" s="473">
        <v>23</v>
      </c>
      <c r="D31" s="471">
        <v>450</v>
      </c>
      <c r="E31" s="474">
        <v>38741</v>
      </c>
      <c r="F31" s="475" t="s">
        <v>446</v>
      </c>
      <c r="G31" s="476">
        <v>5</v>
      </c>
      <c r="H31" s="475" t="s">
        <v>458</v>
      </c>
      <c r="I31" s="478" t="s">
        <v>459</v>
      </c>
      <c r="J31" s="496">
        <v>1966.5</v>
      </c>
    </row>
    <row r="32" spans="1:10" ht="20.25" customHeight="1">
      <c r="A32" s="471">
        <v>5111</v>
      </c>
      <c r="B32" s="474" t="s">
        <v>445</v>
      </c>
      <c r="C32" s="473">
        <v>831</v>
      </c>
      <c r="D32" s="471">
        <v>7791</v>
      </c>
      <c r="E32" s="474">
        <v>39121</v>
      </c>
      <c r="F32" s="475" t="s">
        <v>446</v>
      </c>
      <c r="G32" s="476">
        <v>52</v>
      </c>
      <c r="H32" s="475" t="s">
        <v>460</v>
      </c>
      <c r="I32" s="478" t="s">
        <v>461</v>
      </c>
      <c r="J32" s="497">
        <v>598</v>
      </c>
    </row>
    <row r="33" spans="1:10" ht="20.25" customHeight="1">
      <c r="A33" s="471">
        <v>5111</v>
      </c>
      <c r="B33" s="474" t="s">
        <v>445</v>
      </c>
      <c r="C33" s="473">
        <v>832</v>
      </c>
      <c r="D33" s="471">
        <v>7791</v>
      </c>
      <c r="E33" s="474">
        <v>39121</v>
      </c>
      <c r="F33" s="475" t="s">
        <v>446</v>
      </c>
      <c r="G33" s="476">
        <v>52</v>
      </c>
      <c r="H33" s="475" t="s">
        <v>460</v>
      </c>
      <c r="I33" s="478" t="s">
        <v>461</v>
      </c>
      <c r="J33" s="497">
        <v>598</v>
      </c>
    </row>
    <row r="34" spans="1:10" ht="20.25" customHeight="1">
      <c r="A34" s="471">
        <v>5111</v>
      </c>
      <c r="B34" s="474" t="s">
        <v>445</v>
      </c>
      <c r="C34" s="473">
        <v>833</v>
      </c>
      <c r="D34" s="471">
        <v>7791</v>
      </c>
      <c r="E34" s="474">
        <v>39121</v>
      </c>
      <c r="F34" s="475" t="s">
        <v>446</v>
      </c>
      <c r="G34" s="476">
        <v>52</v>
      </c>
      <c r="H34" s="475" t="s">
        <v>460</v>
      </c>
      <c r="I34" s="478" t="s">
        <v>461</v>
      </c>
      <c r="J34" s="497">
        <v>598</v>
      </c>
    </row>
    <row r="35" spans="1:10" ht="20.25" customHeight="1">
      <c r="A35" s="471">
        <v>5111</v>
      </c>
      <c r="B35" s="474" t="s">
        <v>445</v>
      </c>
      <c r="C35" s="473">
        <v>834</v>
      </c>
      <c r="D35" s="471">
        <v>7791</v>
      </c>
      <c r="E35" s="474">
        <v>39121</v>
      </c>
      <c r="F35" s="475" t="s">
        <v>446</v>
      </c>
      <c r="G35" s="476">
        <v>52</v>
      </c>
      <c r="H35" s="475" t="s">
        <v>460</v>
      </c>
      <c r="I35" s="478" t="s">
        <v>461</v>
      </c>
      <c r="J35" s="497">
        <v>598</v>
      </c>
    </row>
    <row r="36" spans="1:10" ht="20.25" customHeight="1">
      <c r="A36" s="471">
        <v>5111</v>
      </c>
      <c r="B36" s="474" t="s">
        <v>445</v>
      </c>
      <c r="C36" s="473">
        <v>835</v>
      </c>
      <c r="D36" s="471">
        <v>7791</v>
      </c>
      <c r="E36" s="474">
        <v>39121</v>
      </c>
      <c r="F36" s="475" t="s">
        <v>446</v>
      </c>
      <c r="G36" s="476">
        <v>52</v>
      </c>
      <c r="H36" s="475" t="s">
        <v>460</v>
      </c>
      <c r="I36" s="478" t="s">
        <v>461</v>
      </c>
      <c r="J36" s="497">
        <v>598</v>
      </c>
    </row>
    <row r="37" spans="1:10" ht="20.25" customHeight="1">
      <c r="A37" s="471">
        <v>5111</v>
      </c>
      <c r="B37" s="474" t="s">
        <v>445</v>
      </c>
      <c r="C37" s="473">
        <v>836</v>
      </c>
      <c r="D37" s="471">
        <v>7791</v>
      </c>
      <c r="E37" s="474">
        <v>39121</v>
      </c>
      <c r="F37" s="475" t="s">
        <v>446</v>
      </c>
      <c r="G37" s="476">
        <v>52</v>
      </c>
      <c r="H37" s="475" t="s">
        <v>460</v>
      </c>
      <c r="I37" s="478" t="s">
        <v>461</v>
      </c>
      <c r="J37" s="497">
        <v>598</v>
      </c>
    </row>
    <row r="38" spans="1:10" ht="20.25" customHeight="1">
      <c r="A38" s="471">
        <v>5111</v>
      </c>
      <c r="B38" s="474" t="s">
        <v>445</v>
      </c>
      <c r="C38" s="473">
        <v>837</v>
      </c>
      <c r="D38" s="471">
        <v>7791</v>
      </c>
      <c r="E38" s="474">
        <v>39121</v>
      </c>
      <c r="F38" s="475" t="s">
        <v>446</v>
      </c>
      <c r="G38" s="476">
        <v>52</v>
      </c>
      <c r="H38" s="475" t="s">
        <v>460</v>
      </c>
      <c r="I38" s="478" t="s">
        <v>461</v>
      </c>
      <c r="J38" s="497">
        <v>598</v>
      </c>
    </row>
    <row r="39" spans="1:10" ht="20.25" customHeight="1">
      <c r="A39" s="471">
        <v>5111</v>
      </c>
      <c r="B39" s="474" t="s">
        <v>445</v>
      </c>
      <c r="C39" s="473">
        <v>838</v>
      </c>
      <c r="D39" s="471">
        <v>7791</v>
      </c>
      <c r="E39" s="474">
        <v>39121</v>
      </c>
      <c r="F39" s="475" t="s">
        <v>446</v>
      </c>
      <c r="G39" s="476">
        <v>52</v>
      </c>
      <c r="H39" s="475" t="s">
        <v>460</v>
      </c>
      <c r="I39" s="478" t="s">
        <v>461</v>
      </c>
      <c r="J39" s="497">
        <v>598</v>
      </c>
    </row>
    <row r="40" spans="1:10" ht="20.25" customHeight="1">
      <c r="A40" s="471">
        <v>5111</v>
      </c>
      <c r="B40" s="474" t="s">
        <v>445</v>
      </c>
      <c r="C40" s="473">
        <v>839</v>
      </c>
      <c r="D40" s="471">
        <v>7791</v>
      </c>
      <c r="E40" s="474">
        <v>39121</v>
      </c>
      <c r="F40" s="475" t="s">
        <v>446</v>
      </c>
      <c r="G40" s="476">
        <v>52</v>
      </c>
      <c r="H40" s="475" t="s">
        <v>460</v>
      </c>
      <c r="I40" s="478" t="s">
        <v>461</v>
      </c>
      <c r="J40" s="497">
        <v>598</v>
      </c>
    </row>
    <row r="41" spans="1:10" ht="20.25" customHeight="1">
      <c r="A41" s="471">
        <v>5111</v>
      </c>
      <c r="B41" s="474" t="s">
        <v>445</v>
      </c>
      <c r="C41" s="473">
        <v>840</v>
      </c>
      <c r="D41" s="471">
        <v>7791</v>
      </c>
      <c r="E41" s="474">
        <v>39121</v>
      </c>
      <c r="F41" s="475" t="s">
        <v>446</v>
      </c>
      <c r="G41" s="476">
        <v>52</v>
      </c>
      <c r="H41" s="475" t="s">
        <v>460</v>
      </c>
      <c r="I41" s="478" t="s">
        <v>461</v>
      </c>
      <c r="J41" s="497">
        <v>598</v>
      </c>
    </row>
    <row r="42" spans="1:10" ht="20.25" customHeight="1">
      <c r="A42" s="471">
        <v>5111</v>
      </c>
      <c r="B42" s="474" t="s">
        <v>445</v>
      </c>
      <c r="C42" s="473">
        <v>841</v>
      </c>
      <c r="D42" s="471">
        <v>7791</v>
      </c>
      <c r="E42" s="474">
        <v>39121</v>
      </c>
      <c r="F42" s="475" t="s">
        <v>446</v>
      </c>
      <c r="G42" s="476">
        <v>52</v>
      </c>
      <c r="H42" s="475" t="s">
        <v>460</v>
      </c>
      <c r="I42" s="478" t="s">
        <v>461</v>
      </c>
      <c r="J42" s="497">
        <v>598</v>
      </c>
    </row>
    <row r="43" spans="1:10" ht="20.25" customHeight="1">
      <c r="A43" s="471">
        <v>5111</v>
      </c>
      <c r="B43" s="474" t="s">
        <v>445</v>
      </c>
      <c r="C43" s="473">
        <v>842</v>
      </c>
      <c r="D43" s="471">
        <v>7791</v>
      </c>
      <c r="E43" s="474">
        <v>39121</v>
      </c>
      <c r="F43" s="475" t="s">
        <v>446</v>
      </c>
      <c r="G43" s="476">
        <v>52</v>
      </c>
      <c r="H43" s="475" t="s">
        <v>460</v>
      </c>
      <c r="I43" s="478" t="s">
        <v>461</v>
      </c>
      <c r="J43" s="497">
        <v>598</v>
      </c>
    </row>
    <row r="44" spans="1:10" ht="20.25" customHeight="1">
      <c r="A44" s="471">
        <v>5111</v>
      </c>
      <c r="B44" s="474" t="s">
        <v>445</v>
      </c>
      <c r="C44" s="473">
        <v>843</v>
      </c>
      <c r="D44" s="471">
        <v>7791</v>
      </c>
      <c r="E44" s="474">
        <v>39121</v>
      </c>
      <c r="F44" s="475" t="s">
        <v>446</v>
      </c>
      <c r="G44" s="476">
        <v>52</v>
      </c>
      <c r="H44" s="475" t="s">
        <v>460</v>
      </c>
      <c r="I44" s="478" t="s">
        <v>461</v>
      </c>
      <c r="J44" s="497">
        <v>598</v>
      </c>
    </row>
    <row r="45" spans="1:10" ht="20.25" customHeight="1">
      <c r="A45" s="471">
        <v>5111</v>
      </c>
      <c r="B45" s="474" t="s">
        <v>445</v>
      </c>
      <c r="C45" s="473">
        <v>844</v>
      </c>
      <c r="D45" s="471">
        <v>7791</v>
      </c>
      <c r="E45" s="474">
        <v>39121</v>
      </c>
      <c r="F45" s="475" t="s">
        <v>446</v>
      </c>
      <c r="G45" s="476">
        <v>52</v>
      </c>
      <c r="H45" s="475" t="s">
        <v>460</v>
      </c>
      <c r="I45" s="478" t="s">
        <v>461</v>
      </c>
      <c r="J45" s="497">
        <v>598</v>
      </c>
    </row>
    <row r="46" spans="1:10" ht="20.25" customHeight="1">
      <c r="A46" s="471">
        <v>5111</v>
      </c>
      <c r="B46" s="474" t="s">
        <v>445</v>
      </c>
      <c r="C46" s="473">
        <v>845</v>
      </c>
      <c r="D46" s="471">
        <v>229</v>
      </c>
      <c r="E46" s="474">
        <v>39135</v>
      </c>
      <c r="F46" s="475" t="s">
        <v>446</v>
      </c>
      <c r="G46" s="476">
        <v>50</v>
      </c>
      <c r="H46" s="475" t="s">
        <v>462</v>
      </c>
      <c r="I46" s="478" t="s">
        <v>463</v>
      </c>
      <c r="J46" s="497">
        <v>6808.29</v>
      </c>
    </row>
    <row r="47" spans="1:10" ht="20.25" customHeight="1">
      <c r="A47" s="471">
        <v>5111</v>
      </c>
      <c r="B47" s="472" t="s">
        <v>445</v>
      </c>
      <c r="C47" s="473">
        <v>846</v>
      </c>
      <c r="D47" s="471">
        <v>26651</v>
      </c>
      <c r="E47" s="474">
        <v>39165</v>
      </c>
      <c r="F47" s="475" t="s">
        <v>446</v>
      </c>
      <c r="G47" s="476">
        <v>6</v>
      </c>
      <c r="H47" s="475" t="s">
        <v>464</v>
      </c>
      <c r="I47" s="478" t="s">
        <v>465</v>
      </c>
      <c r="J47" s="496">
        <f>5370*1.15</f>
        <v>6175.4999999999991</v>
      </c>
    </row>
    <row r="48" spans="1:10" ht="20.25" customHeight="1">
      <c r="A48" s="471">
        <v>5111</v>
      </c>
      <c r="B48" s="472" t="s">
        <v>445</v>
      </c>
      <c r="C48" s="473">
        <v>847</v>
      </c>
      <c r="D48" s="471">
        <v>286</v>
      </c>
      <c r="E48" s="474">
        <v>39219</v>
      </c>
      <c r="F48" s="475" t="s">
        <v>446</v>
      </c>
      <c r="G48" s="476">
        <v>9</v>
      </c>
      <c r="H48" s="475" t="s">
        <v>466</v>
      </c>
      <c r="I48" s="478" t="s">
        <v>467</v>
      </c>
      <c r="J48" s="496">
        <f>6745/4</f>
        <v>1686.25</v>
      </c>
    </row>
    <row r="49" spans="1:10" ht="20.25" customHeight="1">
      <c r="A49" s="471">
        <v>5111</v>
      </c>
      <c r="B49" s="472" t="s">
        <v>445</v>
      </c>
      <c r="C49" s="473">
        <v>848</v>
      </c>
      <c r="D49" s="471">
        <v>286</v>
      </c>
      <c r="E49" s="474">
        <v>39219</v>
      </c>
      <c r="F49" s="475" t="s">
        <v>446</v>
      </c>
      <c r="G49" s="476">
        <v>9</v>
      </c>
      <c r="H49" s="475" t="s">
        <v>466</v>
      </c>
      <c r="I49" s="478" t="s">
        <v>467</v>
      </c>
      <c r="J49" s="496">
        <f>6745/4</f>
        <v>1686.25</v>
      </c>
    </row>
    <row r="50" spans="1:10" ht="20.25" customHeight="1">
      <c r="A50" s="471">
        <v>5111</v>
      </c>
      <c r="B50" s="472" t="s">
        <v>445</v>
      </c>
      <c r="C50" s="473">
        <v>849</v>
      </c>
      <c r="D50" s="471">
        <v>286</v>
      </c>
      <c r="E50" s="474">
        <v>39219</v>
      </c>
      <c r="F50" s="475" t="s">
        <v>446</v>
      </c>
      <c r="G50" s="476">
        <v>9</v>
      </c>
      <c r="H50" s="475" t="s">
        <v>466</v>
      </c>
      <c r="I50" s="478" t="s">
        <v>467</v>
      </c>
      <c r="J50" s="496">
        <f>6745/4</f>
        <v>1686.25</v>
      </c>
    </row>
    <row r="51" spans="1:10" ht="20.25" customHeight="1">
      <c r="A51" s="471">
        <v>5111</v>
      </c>
      <c r="B51" s="472" t="s">
        <v>445</v>
      </c>
      <c r="C51" s="473">
        <v>850</v>
      </c>
      <c r="D51" s="471">
        <v>286</v>
      </c>
      <c r="E51" s="474">
        <v>39219</v>
      </c>
      <c r="F51" s="475" t="s">
        <v>446</v>
      </c>
      <c r="G51" s="476">
        <v>9</v>
      </c>
      <c r="H51" s="475" t="s">
        <v>466</v>
      </c>
      <c r="I51" s="478" t="s">
        <v>467</v>
      </c>
      <c r="J51" s="496">
        <f>6745/4</f>
        <v>1686.25</v>
      </c>
    </row>
    <row r="52" spans="1:10" ht="20.25" customHeight="1">
      <c r="A52" s="471">
        <v>5111</v>
      </c>
      <c r="B52" s="472" t="s">
        <v>445</v>
      </c>
      <c r="C52" s="473">
        <v>857</v>
      </c>
      <c r="D52" s="471">
        <v>39005</v>
      </c>
      <c r="E52" s="474">
        <v>39230</v>
      </c>
      <c r="F52" s="475" t="s">
        <v>468</v>
      </c>
      <c r="G52" s="476">
        <v>7</v>
      </c>
      <c r="H52" s="475" t="s">
        <v>469</v>
      </c>
      <c r="I52" s="478" t="s">
        <v>470</v>
      </c>
      <c r="J52" s="496">
        <v>1850</v>
      </c>
    </row>
    <row r="53" spans="1:10" ht="20.25" customHeight="1">
      <c r="A53" s="471">
        <v>5111</v>
      </c>
      <c r="B53" s="472" t="s">
        <v>445</v>
      </c>
      <c r="C53" s="473">
        <v>851</v>
      </c>
      <c r="D53" s="471">
        <v>39005</v>
      </c>
      <c r="E53" s="474">
        <v>39230</v>
      </c>
      <c r="F53" s="475" t="s">
        <v>446</v>
      </c>
      <c r="G53" s="476">
        <v>8</v>
      </c>
      <c r="H53" s="475" t="s">
        <v>471</v>
      </c>
      <c r="I53" s="478" t="s">
        <v>472</v>
      </c>
      <c r="J53" s="496">
        <v>475</v>
      </c>
    </row>
    <row r="54" spans="1:10" ht="20.25" customHeight="1">
      <c r="A54" s="471">
        <v>5111</v>
      </c>
      <c r="B54" s="472" t="s">
        <v>445</v>
      </c>
      <c r="C54" s="473">
        <v>852</v>
      </c>
      <c r="D54" s="471">
        <v>39005</v>
      </c>
      <c r="E54" s="474">
        <v>39230</v>
      </c>
      <c r="F54" s="475" t="s">
        <v>446</v>
      </c>
      <c r="G54" s="476">
        <v>8</v>
      </c>
      <c r="H54" s="475" t="s">
        <v>471</v>
      </c>
      <c r="I54" s="478" t="s">
        <v>472</v>
      </c>
      <c r="J54" s="496">
        <v>475</v>
      </c>
    </row>
    <row r="55" spans="1:10" ht="20.25" customHeight="1">
      <c r="A55" s="471">
        <v>5111</v>
      </c>
      <c r="B55" s="472" t="s">
        <v>445</v>
      </c>
      <c r="C55" s="473">
        <v>853</v>
      </c>
      <c r="D55" s="471">
        <v>39005</v>
      </c>
      <c r="E55" s="474">
        <v>39230</v>
      </c>
      <c r="F55" s="475" t="s">
        <v>446</v>
      </c>
      <c r="G55" s="476">
        <v>8</v>
      </c>
      <c r="H55" s="475" t="s">
        <v>471</v>
      </c>
      <c r="I55" s="478" t="s">
        <v>472</v>
      </c>
      <c r="J55" s="496">
        <v>475</v>
      </c>
    </row>
    <row r="56" spans="1:10" ht="20.25" customHeight="1">
      <c r="A56" s="471">
        <v>5111</v>
      </c>
      <c r="B56" s="472" t="s">
        <v>445</v>
      </c>
      <c r="C56" s="473">
        <v>854</v>
      </c>
      <c r="D56" s="471">
        <v>39005</v>
      </c>
      <c r="E56" s="474">
        <v>39230</v>
      </c>
      <c r="F56" s="475" t="s">
        <v>446</v>
      </c>
      <c r="G56" s="476">
        <v>8</v>
      </c>
      <c r="H56" s="475" t="s">
        <v>471</v>
      </c>
      <c r="I56" s="478" t="s">
        <v>472</v>
      </c>
      <c r="J56" s="496">
        <v>475</v>
      </c>
    </row>
    <row r="57" spans="1:10" ht="20.25" customHeight="1">
      <c r="A57" s="471">
        <v>5111</v>
      </c>
      <c r="B57" s="472" t="s">
        <v>445</v>
      </c>
      <c r="C57" s="473">
        <v>855</v>
      </c>
      <c r="D57" s="471">
        <v>39005</v>
      </c>
      <c r="E57" s="474">
        <v>39230</v>
      </c>
      <c r="F57" s="475" t="s">
        <v>446</v>
      </c>
      <c r="G57" s="476">
        <v>8</v>
      </c>
      <c r="H57" s="475" t="s">
        <v>471</v>
      </c>
      <c r="I57" s="478" t="s">
        <v>472</v>
      </c>
      <c r="J57" s="496">
        <v>475</v>
      </c>
    </row>
    <row r="58" spans="1:10" ht="20.25" customHeight="1">
      <c r="A58" s="471">
        <v>5111</v>
      </c>
      <c r="B58" s="472" t="s">
        <v>445</v>
      </c>
      <c r="C58" s="473">
        <v>856</v>
      </c>
      <c r="D58" s="471">
        <v>39005</v>
      </c>
      <c r="E58" s="474">
        <v>39230</v>
      </c>
      <c r="F58" s="475" t="s">
        <v>446</v>
      </c>
      <c r="G58" s="476">
        <v>8</v>
      </c>
      <c r="H58" s="475" t="s">
        <v>471</v>
      </c>
      <c r="I58" s="478" t="s">
        <v>472</v>
      </c>
      <c r="J58" s="496">
        <v>475</v>
      </c>
    </row>
    <row r="59" spans="1:10" ht="20.25" customHeight="1">
      <c r="A59" s="471">
        <v>5111</v>
      </c>
      <c r="B59" s="472" t="s">
        <v>445</v>
      </c>
      <c r="C59" s="473">
        <v>858</v>
      </c>
      <c r="D59" s="471">
        <v>286</v>
      </c>
      <c r="E59" s="474">
        <v>39239</v>
      </c>
      <c r="F59" s="475" t="s">
        <v>446</v>
      </c>
      <c r="G59" s="476">
        <v>9</v>
      </c>
      <c r="H59" s="475" t="s">
        <v>466</v>
      </c>
      <c r="I59" s="478" t="s">
        <v>467</v>
      </c>
      <c r="J59" s="496">
        <v>1686.18</v>
      </c>
    </row>
    <row r="60" spans="1:10" ht="20.25" customHeight="1">
      <c r="A60" s="471">
        <v>5111</v>
      </c>
      <c r="B60" s="474" t="s">
        <v>445</v>
      </c>
      <c r="C60" s="473">
        <v>859</v>
      </c>
      <c r="D60" s="471">
        <v>379</v>
      </c>
      <c r="E60" s="474">
        <v>39254</v>
      </c>
      <c r="F60" s="475" t="s">
        <v>446</v>
      </c>
      <c r="G60" s="476">
        <v>102</v>
      </c>
      <c r="H60" s="475" t="s">
        <v>473</v>
      </c>
      <c r="I60" s="478" t="s">
        <v>474</v>
      </c>
      <c r="J60" s="497">
        <v>1121.25</v>
      </c>
    </row>
    <row r="61" spans="1:10" ht="20.25" customHeight="1">
      <c r="A61" s="471">
        <v>5111</v>
      </c>
      <c r="B61" s="474" t="s">
        <v>445</v>
      </c>
      <c r="C61" s="473">
        <v>860</v>
      </c>
      <c r="D61" s="471">
        <v>10976</v>
      </c>
      <c r="E61" s="474">
        <v>39287</v>
      </c>
      <c r="F61" s="475" t="s">
        <v>446</v>
      </c>
      <c r="G61" s="476">
        <v>48</v>
      </c>
      <c r="H61" s="475" t="s">
        <v>475</v>
      </c>
      <c r="I61" s="478" t="s">
        <v>476</v>
      </c>
      <c r="J61" s="497">
        <v>805</v>
      </c>
    </row>
    <row r="62" spans="1:10" ht="20.25" customHeight="1">
      <c r="A62" s="471">
        <v>5111</v>
      </c>
      <c r="B62" s="474" t="s">
        <v>445</v>
      </c>
      <c r="C62" s="473">
        <v>861</v>
      </c>
      <c r="D62" s="471">
        <v>10976</v>
      </c>
      <c r="E62" s="474">
        <v>39287</v>
      </c>
      <c r="F62" s="475" t="s">
        <v>446</v>
      </c>
      <c r="G62" s="476">
        <v>48</v>
      </c>
      <c r="H62" s="475" t="s">
        <v>475</v>
      </c>
      <c r="I62" s="478" t="s">
        <v>476</v>
      </c>
      <c r="J62" s="497">
        <v>805</v>
      </c>
    </row>
    <row r="63" spans="1:10" ht="20.25" customHeight="1">
      <c r="A63" s="471">
        <v>5111</v>
      </c>
      <c r="B63" s="474" t="s">
        <v>445</v>
      </c>
      <c r="C63" s="473">
        <v>862</v>
      </c>
      <c r="D63" s="471">
        <v>10976</v>
      </c>
      <c r="E63" s="474">
        <v>39287</v>
      </c>
      <c r="F63" s="475" t="s">
        <v>446</v>
      </c>
      <c r="G63" s="476">
        <v>48</v>
      </c>
      <c r="H63" s="475" t="s">
        <v>475</v>
      </c>
      <c r="I63" s="478" t="s">
        <v>476</v>
      </c>
      <c r="J63" s="497">
        <v>805</v>
      </c>
    </row>
    <row r="64" spans="1:10" ht="20.25" customHeight="1">
      <c r="A64" s="471">
        <v>5111</v>
      </c>
      <c r="B64" s="474" t="s">
        <v>445</v>
      </c>
      <c r="C64" s="473">
        <v>863</v>
      </c>
      <c r="D64" s="471">
        <v>10976</v>
      </c>
      <c r="E64" s="474">
        <v>39287</v>
      </c>
      <c r="F64" s="475" t="s">
        <v>446</v>
      </c>
      <c r="G64" s="476">
        <v>48</v>
      </c>
      <c r="H64" s="475" t="s">
        <v>475</v>
      </c>
      <c r="I64" s="478" t="s">
        <v>476</v>
      </c>
      <c r="J64" s="497">
        <v>805</v>
      </c>
    </row>
    <row r="65" spans="1:10" ht="20.25" customHeight="1">
      <c r="A65" s="471">
        <v>5111</v>
      </c>
      <c r="B65" s="472" t="s">
        <v>445</v>
      </c>
      <c r="C65" s="473">
        <v>866</v>
      </c>
      <c r="D65" s="471" t="s">
        <v>477</v>
      </c>
      <c r="E65" s="474">
        <v>39774</v>
      </c>
      <c r="F65" s="475" t="s">
        <v>446</v>
      </c>
      <c r="G65" s="476">
        <v>10</v>
      </c>
      <c r="H65" s="475" t="s">
        <v>478</v>
      </c>
      <c r="I65" s="478" t="s">
        <v>479</v>
      </c>
      <c r="J65" s="496">
        <f>8873.4/4</f>
        <v>2218.35</v>
      </c>
    </row>
    <row r="66" spans="1:10" ht="20.25" customHeight="1">
      <c r="A66" s="471">
        <v>5111</v>
      </c>
      <c r="B66" s="472" t="s">
        <v>445</v>
      </c>
      <c r="C66" s="473">
        <v>867</v>
      </c>
      <c r="D66" s="471" t="s">
        <v>477</v>
      </c>
      <c r="E66" s="474">
        <v>39774</v>
      </c>
      <c r="F66" s="475" t="s">
        <v>446</v>
      </c>
      <c r="G66" s="476">
        <v>10</v>
      </c>
      <c r="H66" s="475" t="s">
        <v>478</v>
      </c>
      <c r="I66" s="478" t="s">
        <v>479</v>
      </c>
      <c r="J66" s="496">
        <f>8873.4/4</f>
        <v>2218.35</v>
      </c>
    </row>
    <row r="67" spans="1:10" ht="20.25" customHeight="1">
      <c r="A67" s="471">
        <v>5111</v>
      </c>
      <c r="B67" s="472" t="s">
        <v>445</v>
      </c>
      <c r="C67" s="473">
        <v>868</v>
      </c>
      <c r="D67" s="471" t="s">
        <v>477</v>
      </c>
      <c r="E67" s="474">
        <v>39774</v>
      </c>
      <c r="F67" s="475" t="s">
        <v>446</v>
      </c>
      <c r="G67" s="476">
        <v>10</v>
      </c>
      <c r="H67" s="475" t="s">
        <v>478</v>
      </c>
      <c r="I67" s="478" t="s">
        <v>479</v>
      </c>
      <c r="J67" s="496">
        <f>8873.4/4</f>
        <v>2218.35</v>
      </c>
    </row>
    <row r="68" spans="1:10" ht="20.25" customHeight="1">
      <c r="A68" s="471">
        <v>5111</v>
      </c>
      <c r="B68" s="472" t="s">
        <v>445</v>
      </c>
      <c r="C68" s="473">
        <v>869</v>
      </c>
      <c r="D68" s="471" t="s">
        <v>477</v>
      </c>
      <c r="E68" s="474">
        <v>39774</v>
      </c>
      <c r="F68" s="475" t="s">
        <v>446</v>
      </c>
      <c r="G68" s="476">
        <v>10</v>
      </c>
      <c r="H68" s="475" t="s">
        <v>478</v>
      </c>
      <c r="I68" s="478" t="s">
        <v>479</v>
      </c>
      <c r="J68" s="496">
        <f>8873.4/4</f>
        <v>2218.35</v>
      </c>
    </row>
    <row r="69" spans="1:10" ht="20.25" customHeight="1">
      <c r="A69" s="471">
        <v>5111</v>
      </c>
      <c r="B69" s="472" t="s">
        <v>445</v>
      </c>
      <c r="C69" s="473">
        <v>870</v>
      </c>
      <c r="D69" s="471">
        <v>4062</v>
      </c>
      <c r="E69" s="474">
        <v>39811</v>
      </c>
      <c r="F69" s="475" t="s">
        <v>468</v>
      </c>
      <c r="G69" s="476">
        <v>92</v>
      </c>
      <c r="H69" s="475" t="s">
        <v>480</v>
      </c>
      <c r="I69" s="478" t="s">
        <v>481</v>
      </c>
      <c r="J69" s="496">
        <v>1590.68</v>
      </c>
    </row>
    <row r="70" spans="1:10" ht="20.25" customHeight="1">
      <c r="A70" s="471">
        <v>5111</v>
      </c>
      <c r="B70" s="472" t="s">
        <v>445</v>
      </c>
      <c r="C70" s="473">
        <v>871</v>
      </c>
      <c r="D70" s="471">
        <v>79547</v>
      </c>
      <c r="E70" s="472">
        <v>39980</v>
      </c>
      <c r="F70" s="475" t="s">
        <v>446</v>
      </c>
      <c r="G70" s="476">
        <v>11</v>
      </c>
      <c r="H70" s="475" t="s">
        <v>482</v>
      </c>
      <c r="I70" s="498" t="s">
        <v>483</v>
      </c>
      <c r="J70" s="499">
        <f>(3025*1.15)/5</f>
        <v>695.74999999999989</v>
      </c>
    </row>
    <row r="71" spans="1:10" ht="20.25" customHeight="1">
      <c r="A71" s="471">
        <v>5111</v>
      </c>
      <c r="B71" s="472" t="s">
        <v>445</v>
      </c>
      <c r="C71" s="473">
        <v>872</v>
      </c>
      <c r="D71" s="471">
        <v>79547</v>
      </c>
      <c r="E71" s="472">
        <v>39980</v>
      </c>
      <c r="F71" s="475" t="s">
        <v>446</v>
      </c>
      <c r="G71" s="476">
        <v>11</v>
      </c>
      <c r="H71" s="475" t="s">
        <v>482</v>
      </c>
      <c r="I71" s="498" t="s">
        <v>483</v>
      </c>
      <c r="J71" s="499">
        <f>(3025*1.15)/5</f>
        <v>695.74999999999989</v>
      </c>
    </row>
    <row r="72" spans="1:10" ht="20.25" customHeight="1">
      <c r="A72" s="471">
        <v>5111</v>
      </c>
      <c r="B72" s="472" t="s">
        <v>445</v>
      </c>
      <c r="C72" s="473">
        <v>873</v>
      </c>
      <c r="D72" s="471">
        <v>79547</v>
      </c>
      <c r="E72" s="472">
        <v>39980</v>
      </c>
      <c r="F72" s="475" t="s">
        <v>446</v>
      </c>
      <c r="G72" s="476">
        <v>11</v>
      </c>
      <c r="H72" s="475" t="s">
        <v>482</v>
      </c>
      <c r="I72" s="498" t="s">
        <v>483</v>
      </c>
      <c r="J72" s="499">
        <f>(3025*1.15)/5</f>
        <v>695.74999999999989</v>
      </c>
    </row>
    <row r="73" spans="1:10" ht="20.25" customHeight="1">
      <c r="A73" s="471">
        <v>5111</v>
      </c>
      <c r="B73" s="472" t="s">
        <v>445</v>
      </c>
      <c r="C73" s="473">
        <v>874</v>
      </c>
      <c r="D73" s="471">
        <v>79547</v>
      </c>
      <c r="E73" s="472">
        <v>39980</v>
      </c>
      <c r="F73" s="475" t="s">
        <v>446</v>
      </c>
      <c r="G73" s="476">
        <v>11</v>
      </c>
      <c r="H73" s="475" t="s">
        <v>482</v>
      </c>
      <c r="I73" s="498" t="s">
        <v>483</v>
      </c>
      <c r="J73" s="499">
        <f>(3025*1.15)/5</f>
        <v>695.74999999999989</v>
      </c>
    </row>
    <row r="74" spans="1:10" ht="20.25" customHeight="1">
      <c r="A74" s="471">
        <v>5111</v>
      </c>
      <c r="B74" s="472" t="s">
        <v>445</v>
      </c>
      <c r="C74" s="473">
        <v>875</v>
      </c>
      <c r="D74" s="471">
        <v>79547</v>
      </c>
      <c r="E74" s="472">
        <v>39980</v>
      </c>
      <c r="F74" s="475" t="s">
        <v>446</v>
      </c>
      <c r="G74" s="476">
        <v>11</v>
      </c>
      <c r="H74" s="475" t="s">
        <v>482</v>
      </c>
      <c r="I74" s="498" t="s">
        <v>483</v>
      </c>
      <c r="J74" s="499">
        <f>(3025*1.15)/5</f>
        <v>695.74999999999989</v>
      </c>
    </row>
    <row r="75" spans="1:10" ht="20.25" customHeight="1">
      <c r="A75" s="471">
        <v>5111</v>
      </c>
      <c r="B75" s="472" t="s">
        <v>445</v>
      </c>
      <c r="C75" s="473">
        <v>876</v>
      </c>
      <c r="D75" s="471">
        <v>79547</v>
      </c>
      <c r="E75" s="472">
        <v>39980</v>
      </c>
      <c r="F75" s="475" t="s">
        <v>446</v>
      </c>
      <c r="G75" s="476">
        <v>12</v>
      </c>
      <c r="H75" s="475" t="s">
        <v>484</v>
      </c>
      <c r="I75" s="498" t="s">
        <v>485</v>
      </c>
      <c r="J75" s="499">
        <f t="shared" ref="J75:J99" si="1">(8765*1.15)/25</f>
        <v>403.19</v>
      </c>
    </row>
    <row r="76" spans="1:10" ht="20.25" customHeight="1">
      <c r="A76" s="471">
        <v>5111</v>
      </c>
      <c r="B76" s="472" t="s">
        <v>445</v>
      </c>
      <c r="C76" s="473">
        <v>877</v>
      </c>
      <c r="D76" s="471">
        <v>79547</v>
      </c>
      <c r="E76" s="472">
        <v>39980</v>
      </c>
      <c r="F76" s="475" t="s">
        <v>446</v>
      </c>
      <c r="G76" s="476">
        <v>12</v>
      </c>
      <c r="H76" s="475" t="s">
        <v>484</v>
      </c>
      <c r="I76" s="498" t="s">
        <v>485</v>
      </c>
      <c r="J76" s="499">
        <f t="shared" si="1"/>
        <v>403.19</v>
      </c>
    </row>
    <row r="77" spans="1:10" ht="20.25" customHeight="1">
      <c r="A77" s="471">
        <v>5111</v>
      </c>
      <c r="B77" s="472" t="s">
        <v>445</v>
      </c>
      <c r="C77" s="473">
        <v>878</v>
      </c>
      <c r="D77" s="471">
        <v>79547</v>
      </c>
      <c r="E77" s="472">
        <v>39980</v>
      </c>
      <c r="F77" s="475" t="s">
        <v>446</v>
      </c>
      <c r="G77" s="476">
        <v>12</v>
      </c>
      <c r="H77" s="475" t="s">
        <v>484</v>
      </c>
      <c r="I77" s="498" t="s">
        <v>485</v>
      </c>
      <c r="J77" s="499">
        <f t="shared" si="1"/>
        <v>403.19</v>
      </c>
    </row>
    <row r="78" spans="1:10" ht="20.25" customHeight="1">
      <c r="A78" s="471">
        <v>5111</v>
      </c>
      <c r="B78" s="472" t="s">
        <v>445</v>
      </c>
      <c r="C78" s="473">
        <v>879</v>
      </c>
      <c r="D78" s="471">
        <v>79547</v>
      </c>
      <c r="E78" s="472">
        <v>39980</v>
      </c>
      <c r="F78" s="475" t="s">
        <v>446</v>
      </c>
      <c r="G78" s="476">
        <v>12</v>
      </c>
      <c r="H78" s="475" t="s">
        <v>484</v>
      </c>
      <c r="I78" s="498" t="s">
        <v>485</v>
      </c>
      <c r="J78" s="499">
        <f t="shared" si="1"/>
        <v>403.19</v>
      </c>
    </row>
    <row r="79" spans="1:10" ht="20.25" customHeight="1">
      <c r="A79" s="471">
        <v>5111</v>
      </c>
      <c r="B79" s="472" t="s">
        <v>445</v>
      </c>
      <c r="C79" s="473">
        <v>880</v>
      </c>
      <c r="D79" s="471">
        <v>79547</v>
      </c>
      <c r="E79" s="472">
        <v>39980</v>
      </c>
      <c r="F79" s="475" t="s">
        <v>446</v>
      </c>
      <c r="G79" s="476">
        <v>12</v>
      </c>
      <c r="H79" s="475" t="s">
        <v>484</v>
      </c>
      <c r="I79" s="498" t="s">
        <v>485</v>
      </c>
      <c r="J79" s="499">
        <f t="shared" si="1"/>
        <v>403.19</v>
      </c>
    </row>
    <row r="80" spans="1:10" ht="20.25" customHeight="1">
      <c r="A80" s="471">
        <v>5111</v>
      </c>
      <c r="B80" s="472" t="s">
        <v>445</v>
      </c>
      <c r="C80" s="473">
        <v>881</v>
      </c>
      <c r="D80" s="471">
        <v>79547</v>
      </c>
      <c r="E80" s="472">
        <v>39980</v>
      </c>
      <c r="F80" s="475" t="s">
        <v>446</v>
      </c>
      <c r="G80" s="476">
        <v>12</v>
      </c>
      <c r="H80" s="475" t="s">
        <v>484</v>
      </c>
      <c r="I80" s="498" t="s">
        <v>485</v>
      </c>
      <c r="J80" s="499">
        <f t="shared" si="1"/>
        <v>403.19</v>
      </c>
    </row>
    <row r="81" spans="1:10" ht="20.25" customHeight="1">
      <c r="A81" s="471">
        <v>5111</v>
      </c>
      <c r="B81" s="472" t="s">
        <v>445</v>
      </c>
      <c r="C81" s="473">
        <v>882</v>
      </c>
      <c r="D81" s="471">
        <v>79547</v>
      </c>
      <c r="E81" s="472">
        <v>39980</v>
      </c>
      <c r="F81" s="475" t="s">
        <v>446</v>
      </c>
      <c r="G81" s="476">
        <v>12</v>
      </c>
      <c r="H81" s="475" t="s">
        <v>484</v>
      </c>
      <c r="I81" s="498" t="s">
        <v>485</v>
      </c>
      <c r="J81" s="499">
        <f t="shared" si="1"/>
        <v>403.19</v>
      </c>
    </row>
    <row r="82" spans="1:10" ht="20.25" customHeight="1">
      <c r="A82" s="471">
        <v>5111</v>
      </c>
      <c r="B82" s="472" t="s">
        <v>445</v>
      </c>
      <c r="C82" s="473">
        <v>883</v>
      </c>
      <c r="D82" s="471">
        <v>79547</v>
      </c>
      <c r="E82" s="472">
        <v>39980</v>
      </c>
      <c r="F82" s="475" t="s">
        <v>446</v>
      </c>
      <c r="G82" s="476">
        <v>12</v>
      </c>
      <c r="H82" s="475" t="s">
        <v>484</v>
      </c>
      <c r="I82" s="498" t="s">
        <v>485</v>
      </c>
      <c r="J82" s="499">
        <f t="shared" si="1"/>
        <v>403.19</v>
      </c>
    </row>
    <row r="83" spans="1:10" ht="20.25" customHeight="1">
      <c r="A83" s="471">
        <v>5111</v>
      </c>
      <c r="B83" s="472" t="s">
        <v>445</v>
      </c>
      <c r="C83" s="473">
        <v>884</v>
      </c>
      <c r="D83" s="471">
        <v>79547</v>
      </c>
      <c r="E83" s="472">
        <v>39980</v>
      </c>
      <c r="F83" s="475" t="s">
        <v>446</v>
      </c>
      <c r="G83" s="476">
        <v>12</v>
      </c>
      <c r="H83" s="475" t="s">
        <v>484</v>
      </c>
      <c r="I83" s="498" t="s">
        <v>485</v>
      </c>
      <c r="J83" s="499">
        <f t="shared" si="1"/>
        <v>403.19</v>
      </c>
    </row>
    <row r="84" spans="1:10" ht="20.25" customHeight="1">
      <c r="A84" s="471">
        <v>5111</v>
      </c>
      <c r="B84" s="472" t="s">
        <v>445</v>
      </c>
      <c r="C84" s="473">
        <v>885</v>
      </c>
      <c r="D84" s="471">
        <v>79547</v>
      </c>
      <c r="E84" s="472">
        <v>39980</v>
      </c>
      <c r="F84" s="475" t="s">
        <v>446</v>
      </c>
      <c r="G84" s="476">
        <v>12</v>
      </c>
      <c r="H84" s="475" t="s">
        <v>484</v>
      </c>
      <c r="I84" s="498" t="s">
        <v>485</v>
      </c>
      <c r="J84" s="499">
        <f t="shared" si="1"/>
        <v>403.19</v>
      </c>
    </row>
    <row r="85" spans="1:10" ht="20.25" customHeight="1">
      <c r="A85" s="471">
        <v>5111</v>
      </c>
      <c r="B85" s="472" t="s">
        <v>445</v>
      </c>
      <c r="C85" s="473">
        <v>886</v>
      </c>
      <c r="D85" s="471">
        <v>79547</v>
      </c>
      <c r="E85" s="472">
        <v>39980</v>
      </c>
      <c r="F85" s="475" t="s">
        <v>446</v>
      </c>
      <c r="G85" s="476">
        <v>12</v>
      </c>
      <c r="H85" s="475" t="s">
        <v>484</v>
      </c>
      <c r="I85" s="498" t="s">
        <v>485</v>
      </c>
      <c r="J85" s="499">
        <f t="shared" si="1"/>
        <v>403.19</v>
      </c>
    </row>
    <row r="86" spans="1:10" ht="20.25" customHeight="1">
      <c r="A86" s="471">
        <v>5111</v>
      </c>
      <c r="B86" s="472" t="s">
        <v>445</v>
      </c>
      <c r="C86" s="473">
        <v>887</v>
      </c>
      <c r="D86" s="471">
        <v>79547</v>
      </c>
      <c r="E86" s="472">
        <v>39980</v>
      </c>
      <c r="F86" s="475" t="s">
        <v>446</v>
      </c>
      <c r="G86" s="476">
        <v>12</v>
      </c>
      <c r="H86" s="475" t="s">
        <v>484</v>
      </c>
      <c r="I86" s="498" t="s">
        <v>485</v>
      </c>
      <c r="J86" s="499">
        <f t="shared" si="1"/>
        <v>403.19</v>
      </c>
    </row>
    <row r="87" spans="1:10" ht="20.25" customHeight="1">
      <c r="A87" s="471">
        <v>5111</v>
      </c>
      <c r="B87" s="472" t="s">
        <v>445</v>
      </c>
      <c r="C87" s="473">
        <v>888</v>
      </c>
      <c r="D87" s="471">
        <v>79547</v>
      </c>
      <c r="E87" s="472">
        <v>39980</v>
      </c>
      <c r="F87" s="475" t="s">
        <v>446</v>
      </c>
      <c r="G87" s="476">
        <v>12</v>
      </c>
      <c r="H87" s="475" t="s">
        <v>484</v>
      </c>
      <c r="I87" s="498" t="s">
        <v>485</v>
      </c>
      <c r="J87" s="499">
        <f t="shared" si="1"/>
        <v>403.19</v>
      </c>
    </row>
    <row r="88" spans="1:10" ht="20.25" customHeight="1">
      <c r="A88" s="471">
        <v>5111</v>
      </c>
      <c r="B88" s="472" t="s">
        <v>445</v>
      </c>
      <c r="C88" s="473">
        <v>889</v>
      </c>
      <c r="D88" s="471">
        <v>79547</v>
      </c>
      <c r="E88" s="472">
        <v>39980</v>
      </c>
      <c r="F88" s="475" t="s">
        <v>446</v>
      </c>
      <c r="G88" s="476">
        <v>12</v>
      </c>
      <c r="H88" s="475" t="s">
        <v>484</v>
      </c>
      <c r="I88" s="498" t="s">
        <v>485</v>
      </c>
      <c r="J88" s="499">
        <f t="shared" si="1"/>
        <v>403.19</v>
      </c>
    </row>
    <row r="89" spans="1:10" ht="20.25" customHeight="1">
      <c r="A89" s="471">
        <v>5111</v>
      </c>
      <c r="B89" s="472" t="s">
        <v>445</v>
      </c>
      <c r="C89" s="473">
        <v>890</v>
      </c>
      <c r="D89" s="471">
        <v>79547</v>
      </c>
      <c r="E89" s="472">
        <v>39980</v>
      </c>
      <c r="F89" s="475" t="s">
        <v>446</v>
      </c>
      <c r="G89" s="476">
        <v>12</v>
      </c>
      <c r="H89" s="475" t="s">
        <v>484</v>
      </c>
      <c r="I89" s="498" t="s">
        <v>485</v>
      </c>
      <c r="J89" s="499">
        <f t="shared" si="1"/>
        <v>403.19</v>
      </c>
    </row>
    <row r="90" spans="1:10" ht="20.25" customHeight="1">
      <c r="A90" s="471">
        <v>5111</v>
      </c>
      <c r="B90" s="472" t="s">
        <v>445</v>
      </c>
      <c r="C90" s="473">
        <v>891</v>
      </c>
      <c r="D90" s="471">
        <v>79547</v>
      </c>
      <c r="E90" s="472">
        <v>39980</v>
      </c>
      <c r="F90" s="475" t="s">
        <v>446</v>
      </c>
      <c r="G90" s="476">
        <v>12</v>
      </c>
      <c r="H90" s="475" t="s">
        <v>484</v>
      </c>
      <c r="I90" s="498" t="s">
        <v>485</v>
      </c>
      <c r="J90" s="499">
        <f t="shared" si="1"/>
        <v>403.19</v>
      </c>
    </row>
    <row r="91" spans="1:10" ht="20.25" customHeight="1">
      <c r="A91" s="471">
        <v>5111</v>
      </c>
      <c r="B91" s="472" t="s">
        <v>445</v>
      </c>
      <c r="C91" s="473">
        <v>892</v>
      </c>
      <c r="D91" s="471">
        <v>79547</v>
      </c>
      <c r="E91" s="472">
        <v>39980</v>
      </c>
      <c r="F91" s="475" t="s">
        <v>446</v>
      </c>
      <c r="G91" s="476">
        <v>12</v>
      </c>
      <c r="H91" s="475" t="s">
        <v>484</v>
      </c>
      <c r="I91" s="498" t="s">
        <v>485</v>
      </c>
      <c r="J91" s="499">
        <f t="shared" si="1"/>
        <v>403.19</v>
      </c>
    </row>
    <row r="92" spans="1:10" ht="20.25" customHeight="1">
      <c r="A92" s="471">
        <v>5111</v>
      </c>
      <c r="B92" s="472" t="s">
        <v>445</v>
      </c>
      <c r="C92" s="473">
        <v>893</v>
      </c>
      <c r="D92" s="471">
        <v>79547</v>
      </c>
      <c r="E92" s="472">
        <v>39980</v>
      </c>
      <c r="F92" s="475" t="s">
        <v>446</v>
      </c>
      <c r="G92" s="476">
        <v>12</v>
      </c>
      <c r="H92" s="475" t="s">
        <v>484</v>
      </c>
      <c r="I92" s="498" t="s">
        <v>485</v>
      </c>
      <c r="J92" s="499">
        <f t="shared" si="1"/>
        <v>403.19</v>
      </c>
    </row>
    <row r="93" spans="1:10" ht="20.25" customHeight="1">
      <c r="A93" s="471">
        <v>5111</v>
      </c>
      <c r="B93" s="472" t="s">
        <v>445</v>
      </c>
      <c r="C93" s="473">
        <v>894</v>
      </c>
      <c r="D93" s="471">
        <v>79547</v>
      </c>
      <c r="E93" s="472">
        <v>39980</v>
      </c>
      <c r="F93" s="475" t="s">
        <v>446</v>
      </c>
      <c r="G93" s="476">
        <v>12</v>
      </c>
      <c r="H93" s="475" t="s">
        <v>484</v>
      </c>
      <c r="I93" s="498" t="s">
        <v>485</v>
      </c>
      <c r="J93" s="499">
        <f t="shared" si="1"/>
        <v>403.19</v>
      </c>
    </row>
    <row r="94" spans="1:10" ht="20.25" customHeight="1">
      <c r="A94" s="471">
        <v>5111</v>
      </c>
      <c r="B94" s="472" t="s">
        <v>445</v>
      </c>
      <c r="C94" s="473">
        <v>895</v>
      </c>
      <c r="D94" s="471">
        <v>79547</v>
      </c>
      <c r="E94" s="472">
        <v>39980</v>
      </c>
      <c r="F94" s="475" t="s">
        <v>446</v>
      </c>
      <c r="G94" s="476">
        <v>12</v>
      </c>
      <c r="H94" s="475" t="s">
        <v>484</v>
      </c>
      <c r="I94" s="498" t="s">
        <v>485</v>
      </c>
      <c r="J94" s="499">
        <f t="shared" si="1"/>
        <v>403.19</v>
      </c>
    </row>
    <row r="95" spans="1:10" ht="20.25" customHeight="1">
      <c r="A95" s="471">
        <v>5111</v>
      </c>
      <c r="B95" s="472" t="s">
        <v>445</v>
      </c>
      <c r="C95" s="473">
        <v>896</v>
      </c>
      <c r="D95" s="471">
        <v>79547</v>
      </c>
      <c r="E95" s="472">
        <v>39980</v>
      </c>
      <c r="F95" s="475" t="s">
        <v>446</v>
      </c>
      <c r="G95" s="476">
        <v>12</v>
      </c>
      <c r="H95" s="475" t="s">
        <v>484</v>
      </c>
      <c r="I95" s="498" t="s">
        <v>485</v>
      </c>
      <c r="J95" s="499">
        <f t="shared" si="1"/>
        <v>403.19</v>
      </c>
    </row>
    <row r="96" spans="1:10" ht="20.25" customHeight="1">
      <c r="A96" s="471">
        <v>5111</v>
      </c>
      <c r="B96" s="472" t="s">
        <v>445</v>
      </c>
      <c r="C96" s="473">
        <v>897</v>
      </c>
      <c r="D96" s="471">
        <v>79547</v>
      </c>
      <c r="E96" s="472">
        <v>39980</v>
      </c>
      <c r="F96" s="475" t="s">
        <v>446</v>
      </c>
      <c r="G96" s="476">
        <v>12</v>
      </c>
      <c r="H96" s="475" t="s">
        <v>484</v>
      </c>
      <c r="I96" s="498" t="s">
        <v>485</v>
      </c>
      <c r="J96" s="499">
        <f t="shared" si="1"/>
        <v>403.19</v>
      </c>
    </row>
    <row r="97" spans="1:10" ht="20.25" customHeight="1">
      <c r="A97" s="471">
        <v>5111</v>
      </c>
      <c r="B97" s="472" t="s">
        <v>445</v>
      </c>
      <c r="C97" s="473">
        <v>898</v>
      </c>
      <c r="D97" s="471">
        <v>79547</v>
      </c>
      <c r="E97" s="472">
        <v>39980</v>
      </c>
      <c r="F97" s="475" t="s">
        <v>446</v>
      </c>
      <c r="G97" s="476">
        <v>12</v>
      </c>
      <c r="H97" s="475" t="s">
        <v>484</v>
      </c>
      <c r="I97" s="498" t="s">
        <v>485</v>
      </c>
      <c r="J97" s="499">
        <f t="shared" si="1"/>
        <v>403.19</v>
      </c>
    </row>
    <row r="98" spans="1:10" ht="20.25" customHeight="1">
      <c r="A98" s="471">
        <v>5111</v>
      </c>
      <c r="B98" s="472" t="s">
        <v>445</v>
      </c>
      <c r="C98" s="473">
        <v>899</v>
      </c>
      <c r="D98" s="471">
        <v>79547</v>
      </c>
      <c r="E98" s="472">
        <v>39980</v>
      </c>
      <c r="F98" s="475" t="s">
        <v>446</v>
      </c>
      <c r="G98" s="476">
        <v>12</v>
      </c>
      <c r="H98" s="475" t="s">
        <v>484</v>
      </c>
      <c r="I98" s="498" t="s">
        <v>485</v>
      </c>
      <c r="J98" s="499">
        <f t="shared" si="1"/>
        <v>403.19</v>
      </c>
    </row>
    <row r="99" spans="1:10" ht="20.25" customHeight="1">
      <c r="A99" s="471">
        <v>5111</v>
      </c>
      <c r="B99" s="472" t="s">
        <v>445</v>
      </c>
      <c r="C99" s="473">
        <v>900</v>
      </c>
      <c r="D99" s="471">
        <v>79547</v>
      </c>
      <c r="E99" s="472">
        <v>39980</v>
      </c>
      <c r="F99" s="475" t="s">
        <v>446</v>
      </c>
      <c r="G99" s="476">
        <v>12</v>
      </c>
      <c r="H99" s="475" t="s">
        <v>484</v>
      </c>
      <c r="I99" s="498" t="s">
        <v>485</v>
      </c>
      <c r="J99" s="499">
        <f t="shared" si="1"/>
        <v>403.19</v>
      </c>
    </row>
    <row r="100" spans="1:10" ht="20.25" customHeight="1">
      <c r="A100" s="471">
        <v>5111</v>
      </c>
      <c r="B100" s="472" t="s">
        <v>445</v>
      </c>
      <c r="C100" s="473">
        <v>901</v>
      </c>
      <c r="D100" s="471">
        <v>79547</v>
      </c>
      <c r="E100" s="472">
        <v>39980</v>
      </c>
      <c r="F100" s="475" t="s">
        <v>446</v>
      </c>
      <c r="G100" s="476">
        <v>13</v>
      </c>
      <c r="H100" s="475" t="s">
        <v>486</v>
      </c>
      <c r="I100" s="498" t="s">
        <v>487</v>
      </c>
      <c r="J100" s="499">
        <f t="shared" ref="J100:J111" si="2">(27120*1.15)/12</f>
        <v>2598.9999999999995</v>
      </c>
    </row>
    <row r="101" spans="1:10" ht="20.25" customHeight="1">
      <c r="A101" s="471">
        <v>5111</v>
      </c>
      <c r="B101" s="472" t="s">
        <v>445</v>
      </c>
      <c r="C101" s="473">
        <v>902</v>
      </c>
      <c r="D101" s="471">
        <v>79547</v>
      </c>
      <c r="E101" s="472">
        <v>39980</v>
      </c>
      <c r="F101" s="475" t="s">
        <v>446</v>
      </c>
      <c r="G101" s="476">
        <v>13</v>
      </c>
      <c r="H101" s="475" t="s">
        <v>486</v>
      </c>
      <c r="I101" s="498" t="s">
        <v>487</v>
      </c>
      <c r="J101" s="499">
        <f t="shared" si="2"/>
        <v>2598.9999999999995</v>
      </c>
    </row>
    <row r="102" spans="1:10" ht="20.25" customHeight="1">
      <c r="A102" s="471">
        <v>5111</v>
      </c>
      <c r="B102" s="472" t="s">
        <v>445</v>
      </c>
      <c r="C102" s="473">
        <v>903</v>
      </c>
      <c r="D102" s="471">
        <v>79547</v>
      </c>
      <c r="E102" s="472">
        <v>39980</v>
      </c>
      <c r="F102" s="475" t="s">
        <v>446</v>
      </c>
      <c r="G102" s="476">
        <v>13</v>
      </c>
      <c r="H102" s="475" t="s">
        <v>486</v>
      </c>
      <c r="I102" s="498" t="s">
        <v>487</v>
      </c>
      <c r="J102" s="499">
        <f t="shared" si="2"/>
        <v>2598.9999999999995</v>
      </c>
    </row>
    <row r="103" spans="1:10" ht="20.25" customHeight="1">
      <c r="A103" s="471">
        <v>5111</v>
      </c>
      <c r="B103" s="472" t="s">
        <v>445</v>
      </c>
      <c r="C103" s="473">
        <v>904</v>
      </c>
      <c r="D103" s="471">
        <v>79547</v>
      </c>
      <c r="E103" s="472">
        <v>39980</v>
      </c>
      <c r="F103" s="475" t="s">
        <v>446</v>
      </c>
      <c r="G103" s="476">
        <v>13</v>
      </c>
      <c r="H103" s="475" t="s">
        <v>486</v>
      </c>
      <c r="I103" s="498" t="s">
        <v>487</v>
      </c>
      <c r="J103" s="499">
        <f t="shared" si="2"/>
        <v>2598.9999999999995</v>
      </c>
    </row>
    <row r="104" spans="1:10" ht="20.25" customHeight="1">
      <c r="A104" s="471">
        <v>5111</v>
      </c>
      <c r="B104" s="472" t="s">
        <v>445</v>
      </c>
      <c r="C104" s="473">
        <v>905</v>
      </c>
      <c r="D104" s="471">
        <v>79547</v>
      </c>
      <c r="E104" s="472">
        <v>39980</v>
      </c>
      <c r="F104" s="475" t="s">
        <v>446</v>
      </c>
      <c r="G104" s="476">
        <v>13</v>
      </c>
      <c r="H104" s="475" t="s">
        <v>486</v>
      </c>
      <c r="I104" s="498" t="s">
        <v>487</v>
      </c>
      <c r="J104" s="499">
        <f t="shared" si="2"/>
        <v>2598.9999999999995</v>
      </c>
    </row>
    <row r="105" spans="1:10" ht="20.25" customHeight="1">
      <c r="A105" s="471">
        <v>5111</v>
      </c>
      <c r="B105" s="472" t="s">
        <v>445</v>
      </c>
      <c r="C105" s="473">
        <v>906</v>
      </c>
      <c r="D105" s="471">
        <v>79547</v>
      </c>
      <c r="E105" s="472">
        <v>39980</v>
      </c>
      <c r="F105" s="475" t="s">
        <v>446</v>
      </c>
      <c r="G105" s="476">
        <v>13</v>
      </c>
      <c r="H105" s="475" t="s">
        <v>486</v>
      </c>
      <c r="I105" s="498" t="s">
        <v>487</v>
      </c>
      <c r="J105" s="499">
        <f t="shared" si="2"/>
        <v>2598.9999999999995</v>
      </c>
    </row>
    <row r="106" spans="1:10" ht="20.25" customHeight="1">
      <c r="A106" s="471">
        <v>5111</v>
      </c>
      <c r="B106" s="472" t="s">
        <v>445</v>
      </c>
      <c r="C106" s="473">
        <v>907</v>
      </c>
      <c r="D106" s="471">
        <v>79547</v>
      </c>
      <c r="E106" s="472">
        <v>39980</v>
      </c>
      <c r="F106" s="475" t="s">
        <v>446</v>
      </c>
      <c r="G106" s="476">
        <v>13</v>
      </c>
      <c r="H106" s="475" t="s">
        <v>486</v>
      </c>
      <c r="I106" s="498" t="s">
        <v>487</v>
      </c>
      <c r="J106" s="499">
        <f t="shared" si="2"/>
        <v>2598.9999999999995</v>
      </c>
    </row>
    <row r="107" spans="1:10" ht="20.25" customHeight="1">
      <c r="A107" s="471">
        <v>5111</v>
      </c>
      <c r="B107" s="472" t="s">
        <v>445</v>
      </c>
      <c r="C107" s="473">
        <v>908</v>
      </c>
      <c r="D107" s="471">
        <v>79547</v>
      </c>
      <c r="E107" s="472">
        <v>39980</v>
      </c>
      <c r="F107" s="475" t="s">
        <v>446</v>
      </c>
      <c r="G107" s="476">
        <v>13</v>
      </c>
      <c r="H107" s="475" t="s">
        <v>486</v>
      </c>
      <c r="I107" s="498" t="s">
        <v>487</v>
      </c>
      <c r="J107" s="499">
        <f t="shared" si="2"/>
        <v>2598.9999999999995</v>
      </c>
    </row>
    <row r="108" spans="1:10" ht="20.25" customHeight="1">
      <c r="A108" s="471">
        <v>5111</v>
      </c>
      <c r="B108" s="472" t="s">
        <v>445</v>
      </c>
      <c r="C108" s="473">
        <v>909</v>
      </c>
      <c r="D108" s="471">
        <v>79547</v>
      </c>
      <c r="E108" s="472">
        <v>39980</v>
      </c>
      <c r="F108" s="475" t="s">
        <v>446</v>
      </c>
      <c r="G108" s="476">
        <v>13</v>
      </c>
      <c r="H108" s="475" t="s">
        <v>486</v>
      </c>
      <c r="I108" s="498" t="s">
        <v>487</v>
      </c>
      <c r="J108" s="499">
        <f t="shared" si="2"/>
        <v>2598.9999999999995</v>
      </c>
    </row>
    <row r="109" spans="1:10" ht="20.25" customHeight="1">
      <c r="A109" s="471">
        <v>5111</v>
      </c>
      <c r="B109" s="472" t="s">
        <v>445</v>
      </c>
      <c r="C109" s="473">
        <v>910</v>
      </c>
      <c r="D109" s="471">
        <v>79547</v>
      </c>
      <c r="E109" s="472">
        <v>39980</v>
      </c>
      <c r="F109" s="475" t="s">
        <v>446</v>
      </c>
      <c r="G109" s="476">
        <v>13</v>
      </c>
      <c r="H109" s="475" t="s">
        <v>486</v>
      </c>
      <c r="I109" s="498" t="s">
        <v>487</v>
      </c>
      <c r="J109" s="499">
        <f t="shared" si="2"/>
        <v>2598.9999999999995</v>
      </c>
    </row>
    <row r="110" spans="1:10" ht="20.25" customHeight="1">
      <c r="A110" s="471">
        <v>5111</v>
      </c>
      <c r="B110" s="472" t="s">
        <v>445</v>
      </c>
      <c r="C110" s="473">
        <v>911</v>
      </c>
      <c r="D110" s="471">
        <v>79547</v>
      </c>
      <c r="E110" s="472">
        <v>39980</v>
      </c>
      <c r="F110" s="475" t="s">
        <v>446</v>
      </c>
      <c r="G110" s="476">
        <v>13</v>
      </c>
      <c r="H110" s="475" t="s">
        <v>486</v>
      </c>
      <c r="I110" s="498" t="s">
        <v>487</v>
      </c>
      <c r="J110" s="499">
        <f t="shared" si="2"/>
        <v>2598.9999999999995</v>
      </c>
    </row>
    <row r="111" spans="1:10" ht="20.25" customHeight="1">
      <c r="A111" s="471">
        <v>5111</v>
      </c>
      <c r="B111" s="472" t="s">
        <v>445</v>
      </c>
      <c r="C111" s="473">
        <v>912</v>
      </c>
      <c r="D111" s="471">
        <v>79547</v>
      </c>
      <c r="E111" s="472">
        <v>39980</v>
      </c>
      <c r="F111" s="475" t="s">
        <v>446</v>
      </c>
      <c r="G111" s="476">
        <v>13</v>
      </c>
      <c r="H111" s="475" t="s">
        <v>486</v>
      </c>
      <c r="I111" s="498" t="s">
        <v>487</v>
      </c>
      <c r="J111" s="499">
        <f t="shared" si="2"/>
        <v>2598.9999999999995</v>
      </c>
    </row>
    <row r="112" spans="1:10" ht="20.25" customHeight="1">
      <c r="A112" s="471">
        <v>5111</v>
      </c>
      <c r="B112" s="472" t="s">
        <v>445</v>
      </c>
      <c r="C112" s="473">
        <v>913</v>
      </c>
      <c r="D112" s="471" t="s">
        <v>488</v>
      </c>
      <c r="E112" s="472">
        <v>39980</v>
      </c>
      <c r="F112" s="475" t="s">
        <v>446</v>
      </c>
      <c r="G112" s="476">
        <v>14</v>
      </c>
      <c r="H112" s="475" t="s">
        <v>489</v>
      </c>
      <c r="I112" s="498" t="s">
        <v>490</v>
      </c>
      <c r="J112" s="499">
        <f t="shared" ref="J112:J121" si="3">(10590*1.15)/10</f>
        <v>1217.8499999999999</v>
      </c>
    </row>
    <row r="113" spans="1:10" ht="20.25" customHeight="1">
      <c r="A113" s="471">
        <v>5111</v>
      </c>
      <c r="B113" s="472" t="s">
        <v>445</v>
      </c>
      <c r="C113" s="473">
        <v>914</v>
      </c>
      <c r="D113" s="471" t="s">
        <v>488</v>
      </c>
      <c r="E113" s="472">
        <v>39980</v>
      </c>
      <c r="F113" s="475" t="s">
        <v>446</v>
      </c>
      <c r="G113" s="476">
        <v>14</v>
      </c>
      <c r="H113" s="475" t="s">
        <v>489</v>
      </c>
      <c r="I113" s="498" t="s">
        <v>490</v>
      </c>
      <c r="J113" s="499">
        <f t="shared" si="3"/>
        <v>1217.8499999999999</v>
      </c>
    </row>
    <row r="114" spans="1:10" ht="20.25" customHeight="1">
      <c r="A114" s="471">
        <v>5111</v>
      </c>
      <c r="B114" s="472" t="s">
        <v>445</v>
      </c>
      <c r="C114" s="473">
        <v>915</v>
      </c>
      <c r="D114" s="471" t="s">
        <v>488</v>
      </c>
      <c r="E114" s="472">
        <v>39980</v>
      </c>
      <c r="F114" s="475" t="s">
        <v>446</v>
      </c>
      <c r="G114" s="476">
        <v>14</v>
      </c>
      <c r="H114" s="475" t="s">
        <v>489</v>
      </c>
      <c r="I114" s="498" t="s">
        <v>490</v>
      </c>
      <c r="J114" s="499">
        <f t="shared" si="3"/>
        <v>1217.8499999999999</v>
      </c>
    </row>
    <row r="115" spans="1:10" ht="20.25" customHeight="1">
      <c r="A115" s="471">
        <v>5111</v>
      </c>
      <c r="B115" s="472" t="s">
        <v>445</v>
      </c>
      <c r="C115" s="473">
        <v>916</v>
      </c>
      <c r="D115" s="471" t="s">
        <v>488</v>
      </c>
      <c r="E115" s="472">
        <v>39980</v>
      </c>
      <c r="F115" s="475" t="s">
        <v>446</v>
      </c>
      <c r="G115" s="476">
        <v>14</v>
      </c>
      <c r="H115" s="475" t="s">
        <v>489</v>
      </c>
      <c r="I115" s="498" t="s">
        <v>490</v>
      </c>
      <c r="J115" s="499">
        <f t="shared" si="3"/>
        <v>1217.8499999999999</v>
      </c>
    </row>
    <row r="116" spans="1:10" ht="20.25" customHeight="1">
      <c r="A116" s="471">
        <v>5111</v>
      </c>
      <c r="B116" s="472" t="s">
        <v>445</v>
      </c>
      <c r="C116" s="473">
        <v>917</v>
      </c>
      <c r="D116" s="471" t="s">
        <v>488</v>
      </c>
      <c r="E116" s="472">
        <v>39980</v>
      </c>
      <c r="F116" s="475" t="s">
        <v>446</v>
      </c>
      <c r="G116" s="476">
        <v>14</v>
      </c>
      <c r="H116" s="475" t="s">
        <v>489</v>
      </c>
      <c r="I116" s="498" t="s">
        <v>490</v>
      </c>
      <c r="J116" s="499">
        <f t="shared" si="3"/>
        <v>1217.8499999999999</v>
      </c>
    </row>
    <row r="117" spans="1:10" ht="20.25" customHeight="1">
      <c r="A117" s="471">
        <v>5111</v>
      </c>
      <c r="B117" s="472" t="s">
        <v>445</v>
      </c>
      <c r="C117" s="473">
        <v>918</v>
      </c>
      <c r="D117" s="471" t="s">
        <v>488</v>
      </c>
      <c r="E117" s="472">
        <v>39980</v>
      </c>
      <c r="F117" s="475" t="s">
        <v>446</v>
      </c>
      <c r="G117" s="476">
        <v>14</v>
      </c>
      <c r="H117" s="475" t="s">
        <v>489</v>
      </c>
      <c r="I117" s="498" t="s">
        <v>490</v>
      </c>
      <c r="J117" s="499">
        <f t="shared" si="3"/>
        <v>1217.8499999999999</v>
      </c>
    </row>
    <row r="118" spans="1:10" ht="20.25" customHeight="1">
      <c r="A118" s="471">
        <v>5111</v>
      </c>
      <c r="B118" s="472" t="s">
        <v>445</v>
      </c>
      <c r="C118" s="473">
        <v>919</v>
      </c>
      <c r="D118" s="471" t="s">
        <v>488</v>
      </c>
      <c r="E118" s="472">
        <v>39980</v>
      </c>
      <c r="F118" s="475" t="s">
        <v>446</v>
      </c>
      <c r="G118" s="476">
        <v>14</v>
      </c>
      <c r="H118" s="475" t="s">
        <v>489</v>
      </c>
      <c r="I118" s="498" t="s">
        <v>490</v>
      </c>
      <c r="J118" s="499">
        <f t="shared" si="3"/>
        <v>1217.8499999999999</v>
      </c>
    </row>
    <row r="119" spans="1:10" ht="20.25" customHeight="1">
      <c r="A119" s="471">
        <v>5111</v>
      </c>
      <c r="B119" s="472" t="s">
        <v>445</v>
      </c>
      <c r="C119" s="473">
        <v>920</v>
      </c>
      <c r="D119" s="471" t="s">
        <v>488</v>
      </c>
      <c r="E119" s="472">
        <v>39980</v>
      </c>
      <c r="F119" s="475" t="s">
        <v>446</v>
      </c>
      <c r="G119" s="476">
        <v>14</v>
      </c>
      <c r="H119" s="475" t="s">
        <v>489</v>
      </c>
      <c r="I119" s="498" t="s">
        <v>490</v>
      </c>
      <c r="J119" s="499">
        <f t="shared" si="3"/>
        <v>1217.8499999999999</v>
      </c>
    </row>
    <row r="120" spans="1:10" ht="20.25" customHeight="1">
      <c r="A120" s="471">
        <v>5111</v>
      </c>
      <c r="B120" s="472" t="s">
        <v>445</v>
      </c>
      <c r="C120" s="473">
        <v>921</v>
      </c>
      <c r="D120" s="471" t="s">
        <v>488</v>
      </c>
      <c r="E120" s="472">
        <v>39980</v>
      </c>
      <c r="F120" s="475" t="s">
        <v>446</v>
      </c>
      <c r="G120" s="476">
        <v>14</v>
      </c>
      <c r="H120" s="475" t="s">
        <v>489</v>
      </c>
      <c r="I120" s="500" t="s">
        <v>490</v>
      </c>
      <c r="J120" s="499">
        <f t="shared" si="3"/>
        <v>1217.8499999999999</v>
      </c>
    </row>
    <row r="121" spans="1:10" ht="20.25" customHeight="1">
      <c r="A121" s="471">
        <v>5111</v>
      </c>
      <c r="B121" s="472" t="s">
        <v>445</v>
      </c>
      <c r="C121" s="473">
        <v>922</v>
      </c>
      <c r="D121" s="471" t="s">
        <v>488</v>
      </c>
      <c r="E121" s="472">
        <v>39980</v>
      </c>
      <c r="F121" s="475" t="s">
        <v>446</v>
      </c>
      <c r="G121" s="476">
        <v>14</v>
      </c>
      <c r="H121" s="475" t="s">
        <v>489</v>
      </c>
      <c r="I121" s="500" t="s">
        <v>490</v>
      </c>
      <c r="J121" s="499">
        <f t="shared" si="3"/>
        <v>1217.8499999999999</v>
      </c>
    </row>
    <row r="122" spans="1:10" ht="20.25" customHeight="1">
      <c r="A122" s="471">
        <v>5111</v>
      </c>
      <c r="B122" s="472" t="s">
        <v>445</v>
      </c>
      <c r="C122" s="473">
        <v>923</v>
      </c>
      <c r="D122" s="471" t="s">
        <v>488</v>
      </c>
      <c r="E122" s="472">
        <v>39980</v>
      </c>
      <c r="F122" s="475" t="s">
        <v>446</v>
      </c>
      <c r="G122" s="476">
        <v>15</v>
      </c>
      <c r="H122" s="475" t="s">
        <v>491</v>
      </c>
      <c r="I122" s="498" t="s">
        <v>492</v>
      </c>
      <c r="J122" s="499">
        <f>(11920*1.15)/4</f>
        <v>3426.9999999999995</v>
      </c>
    </row>
    <row r="123" spans="1:10" ht="20.25" customHeight="1">
      <c r="A123" s="471">
        <v>5111</v>
      </c>
      <c r="B123" s="472" t="s">
        <v>445</v>
      </c>
      <c r="C123" s="473">
        <v>924</v>
      </c>
      <c r="D123" s="471" t="s">
        <v>488</v>
      </c>
      <c r="E123" s="472">
        <v>39980</v>
      </c>
      <c r="F123" s="475" t="s">
        <v>446</v>
      </c>
      <c r="G123" s="476">
        <v>15</v>
      </c>
      <c r="H123" s="475" t="s">
        <v>491</v>
      </c>
      <c r="I123" s="498" t="s">
        <v>492</v>
      </c>
      <c r="J123" s="499">
        <f>(11920*1.15)/4</f>
        <v>3426.9999999999995</v>
      </c>
    </row>
    <row r="124" spans="1:10" ht="20.25" customHeight="1">
      <c r="A124" s="471">
        <v>5111</v>
      </c>
      <c r="B124" s="472" t="s">
        <v>445</v>
      </c>
      <c r="C124" s="473">
        <v>925</v>
      </c>
      <c r="D124" s="471" t="s">
        <v>488</v>
      </c>
      <c r="E124" s="472">
        <v>39980</v>
      </c>
      <c r="F124" s="475" t="s">
        <v>446</v>
      </c>
      <c r="G124" s="476">
        <v>15</v>
      </c>
      <c r="H124" s="475" t="s">
        <v>491</v>
      </c>
      <c r="I124" s="498" t="s">
        <v>492</v>
      </c>
      <c r="J124" s="499">
        <f>(11920*1.15)/4</f>
        <v>3426.9999999999995</v>
      </c>
    </row>
    <row r="125" spans="1:10" ht="20.25" customHeight="1">
      <c r="A125" s="471">
        <v>5111</v>
      </c>
      <c r="B125" s="472" t="s">
        <v>445</v>
      </c>
      <c r="C125" s="473">
        <v>926</v>
      </c>
      <c r="D125" s="471" t="s">
        <v>488</v>
      </c>
      <c r="E125" s="472">
        <v>39980</v>
      </c>
      <c r="F125" s="475" t="s">
        <v>446</v>
      </c>
      <c r="G125" s="476">
        <v>15</v>
      </c>
      <c r="H125" s="475" t="s">
        <v>491</v>
      </c>
      <c r="I125" s="498" t="s">
        <v>492</v>
      </c>
      <c r="J125" s="499">
        <f>(11920*1.15)/4</f>
        <v>3426.9999999999995</v>
      </c>
    </row>
    <row r="126" spans="1:10" ht="20.25" customHeight="1">
      <c r="A126" s="471">
        <v>5111</v>
      </c>
      <c r="B126" s="472" t="s">
        <v>445</v>
      </c>
      <c r="C126" s="473">
        <v>927</v>
      </c>
      <c r="D126" s="471" t="s">
        <v>488</v>
      </c>
      <c r="E126" s="472">
        <v>39980</v>
      </c>
      <c r="F126" s="475" t="s">
        <v>446</v>
      </c>
      <c r="G126" s="476">
        <v>16</v>
      </c>
      <c r="H126" s="475" t="s">
        <v>493</v>
      </c>
      <c r="I126" s="498" t="s">
        <v>494</v>
      </c>
      <c r="J126" s="499">
        <f t="shared" ref="J126:J132" si="4">(7693*1.15)/7</f>
        <v>1263.8499999999999</v>
      </c>
    </row>
    <row r="127" spans="1:10" ht="20.25" customHeight="1">
      <c r="A127" s="471">
        <v>5111</v>
      </c>
      <c r="B127" s="472" t="s">
        <v>445</v>
      </c>
      <c r="C127" s="473">
        <v>928</v>
      </c>
      <c r="D127" s="471" t="s">
        <v>488</v>
      </c>
      <c r="E127" s="472">
        <v>39980</v>
      </c>
      <c r="F127" s="475" t="s">
        <v>446</v>
      </c>
      <c r="G127" s="476">
        <v>16</v>
      </c>
      <c r="H127" s="475" t="s">
        <v>493</v>
      </c>
      <c r="I127" s="498" t="s">
        <v>494</v>
      </c>
      <c r="J127" s="499">
        <f t="shared" si="4"/>
        <v>1263.8499999999999</v>
      </c>
    </row>
    <row r="128" spans="1:10" ht="20.25" customHeight="1">
      <c r="A128" s="471">
        <v>5111</v>
      </c>
      <c r="B128" s="472" t="s">
        <v>445</v>
      </c>
      <c r="C128" s="473">
        <v>929</v>
      </c>
      <c r="D128" s="471" t="s">
        <v>488</v>
      </c>
      <c r="E128" s="472">
        <v>39980</v>
      </c>
      <c r="F128" s="475" t="s">
        <v>446</v>
      </c>
      <c r="G128" s="476">
        <v>16</v>
      </c>
      <c r="H128" s="475" t="s">
        <v>493</v>
      </c>
      <c r="I128" s="498" t="s">
        <v>494</v>
      </c>
      <c r="J128" s="499">
        <f t="shared" si="4"/>
        <v>1263.8499999999999</v>
      </c>
    </row>
    <row r="129" spans="1:10" ht="20.25" customHeight="1">
      <c r="A129" s="471">
        <v>5111</v>
      </c>
      <c r="B129" s="472" t="s">
        <v>445</v>
      </c>
      <c r="C129" s="473">
        <v>930</v>
      </c>
      <c r="D129" s="471" t="s">
        <v>488</v>
      </c>
      <c r="E129" s="472">
        <v>39980</v>
      </c>
      <c r="F129" s="475" t="s">
        <v>446</v>
      </c>
      <c r="G129" s="476">
        <v>16</v>
      </c>
      <c r="H129" s="475" t="s">
        <v>493</v>
      </c>
      <c r="I129" s="498" t="s">
        <v>494</v>
      </c>
      <c r="J129" s="499">
        <f t="shared" si="4"/>
        <v>1263.8499999999999</v>
      </c>
    </row>
    <row r="130" spans="1:10" ht="20.25" customHeight="1">
      <c r="A130" s="471">
        <v>5111</v>
      </c>
      <c r="B130" s="472" t="s">
        <v>445</v>
      </c>
      <c r="C130" s="473">
        <v>931</v>
      </c>
      <c r="D130" s="471" t="s">
        <v>488</v>
      </c>
      <c r="E130" s="472">
        <v>39980</v>
      </c>
      <c r="F130" s="475" t="s">
        <v>446</v>
      </c>
      <c r="G130" s="476">
        <v>16</v>
      </c>
      <c r="H130" s="475" t="s">
        <v>493</v>
      </c>
      <c r="I130" s="498" t="s">
        <v>494</v>
      </c>
      <c r="J130" s="499">
        <f t="shared" si="4"/>
        <v>1263.8499999999999</v>
      </c>
    </row>
    <row r="131" spans="1:10" ht="20.25" customHeight="1">
      <c r="A131" s="471">
        <v>5111</v>
      </c>
      <c r="B131" s="472" t="s">
        <v>445</v>
      </c>
      <c r="C131" s="473">
        <v>932</v>
      </c>
      <c r="D131" s="471" t="s">
        <v>488</v>
      </c>
      <c r="E131" s="472">
        <v>39980</v>
      </c>
      <c r="F131" s="475" t="s">
        <v>446</v>
      </c>
      <c r="G131" s="476">
        <v>16</v>
      </c>
      <c r="H131" s="475" t="s">
        <v>493</v>
      </c>
      <c r="I131" s="498" t="s">
        <v>494</v>
      </c>
      <c r="J131" s="499">
        <f t="shared" si="4"/>
        <v>1263.8499999999999</v>
      </c>
    </row>
    <row r="132" spans="1:10" ht="20.25" customHeight="1">
      <c r="A132" s="471">
        <v>5111</v>
      </c>
      <c r="B132" s="472" t="s">
        <v>445</v>
      </c>
      <c r="C132" s="473">
        <v>933</v>
      </c>
      <c r="D132" s="471" t="s">
        <v>488</v>
      </c>
      <c r="E132" s="472">
        <v>39980</v>
      </c>
      <c r="F132" s="475" t="s">
        <v>446</v>
      </c>
      <c r="G132" s="476">
        <v>16</v>
      </c>
      <c r="H132" s="475" t="s">
        <v>493</v>
      </c>
      <c r="I132" s="498" t="s">
        <v>494</v>
      </c>
      <c r="J132" s="499">
        <f t="shared" si="4"/>
        <v>1263.8499999999999</v>
      </c>
    </row>
    <row r="133" spans="1:10" ht="20.25" customHeight="1">
      <c r="A133" s="471">
        <v>5111</v>
      </c>
      <c r="B133" s="477" t="s">
        <v>445</v>
      </c>
      <c r="C133" s="473">
        <v>934</v>
      </c>
      <c r="D133" s="478">
        <v>1968</v>
      </c>
      <c r="E133" s="477">
        <v>39997</v>
      </c>
      <c r="F133" s="475" t="s">
        <v>446</v>
      </c>
      <c r="G133" s="476">
        <v>17</v>
      </c>
      <c r="H133" s="475" t="s">
        <v>495</v>
      </c>
      <c r="I133" s="498" t="s">
        <v>496</v>
      </c>
      <c r="J133" s="501">
        <f t="shared" ref="J133:J138" si="5">(7200*1.15)/6</f>
        <v>1380</v>
      </c>
    </row>
    <row r="134" spans="1:10" ht="20.25" customHeight="1">
      <c r="A134" s="471">
        <v>5111</v>
      </c>
      <c r="B134" s="477" t="s">
        <v>445</v>
      </c>
      <c r="C134" s="473">
        <v>935</v>
      </c>
      <c r="D134" s="478">
        <v>1968</v>
      </c>
      <c r="E134" s="477">
        <v>39997</v>
      </c>
      <c r="F134" s="475" t="s">
        <v>446</v>
      </c>
      <c r="G134" s="476">
        <v>17</v>
      </c>
      <c r="H134" s="475" t="s">
        <v>495</v>
      </c>
      <c r="I134" s="498" t="s">
        <v>496</v>
      </c>
      <c r="J134" s="501">
        <f t="shared" si="5"/>
        <v>1380</v>
      </c>
    </row>
    <row r="135" spans="1:10" ht="20.25" customHeight="1">
      <c r="A135" s="471">
        <v>5111</v>
      </c>
      <c r="B135" s="477" t="s">
        <v>445</v>
      </c>
      <c r="C135" s="473">
        <v>936</v>
      </c>
      <c r="D135" s="478">
        <v>1968</v>
      </c>
      <c r="E135" s="477">
        <v>39997</v>
      </c>
      <c r="F135" s="475" t="s">
        <v>446</v>
      </c>
      <c r="G135" s="476">
        <v>17</v>
      </c>
      <c r="H135" s="475" t="s">
        <v>495</v>
      </c>
      <c r="I135" s="498" t="s">
        <v>496</v>
      </c>
      <c r="J135" s="501">
        <f t="shared" si="5"/>
        <v>1380</v>
      </c>
    </row>
    <row r="136" spans="1:10" ht="20.25" customHeight="1">
      <c r="A136" s="471">
        <v>5111</v>
      </c>
      <c r="B136" s="477" t="s">
        <v>445</v>
      </c>
      <c r="C136" s="473">
        <v>937</v>
      </c>
      <c r="D136" s="478">
        <v>1968</v>
      </c>
      <c r="E136" s="477">
        <v>39997</v>
      </c>
      <c r="F136" s="475" t="s">
        <v>446</v>
      </c>
      <c r="G136" s="476">
        <v>17</v>
      </c>
      <c r="H136" s="475" t="s">
        <v>495</v>
      </c>
      <c r="I136" s="498" t="s">
        <v>496</v>
      </c>
      <c r="J136" s="501">
        <f t="shared" si="5"/>
        <v>1380</v>
      </c>
    </row>
    <row r="137" spans="1:10" ht="20.25" customHeight="1">
      <c r="A137" s="471">
        <v>5111</v>
      </c>
      <c r="B137" s="477" t="s">
        <v>445</v>
      </c>
      <c r="C137" s="473">
        <v>938</v>
      </c>
      <c r="D137" s="478">
        <v>1968</v>
      </c>
      <c r="E137" s="477">
        <v>39997</v>
      </c>
      <c r="F137" s="475" t="s">
        <v>446</v>
      </c>
      <c r="G137" s="476">
        <v>17</v>
      </c>
      <c r="H137" s="475" t="s">
        <v>495</v>
      </c>
      <c r="I137" s="498" t="s">
        <v>496</v>
      </c>
      <c r="J137" s="501">
        <f t="shared" si="5"/>
        <v>1380</v>
      </c>
    </row>
    <row r="138" spans="1:10" ht="20.25" customHeight="1">
      <c r="A138" s="471">
        <v>5111</v>
      </c>
      <c r="B138" s="477" t="s">
        <v>445</v>
      </c>
      <c r="C138" s="473">
        <v>939</v>
      </c>
      <c r="D138" s="478">
        <v>1968</v>
      </c>
      <c r="E138" s="477">
        <v>39997</v>
      </c>
      <c r="F138" s="475" t="s">
        <v>446</v>
      </c>
      <c r="G138" s="476">
        <v>17</v>
      </c>
      <c r="H138" s="475" t="s">
        <v>495</v>
      </c>
      <c r="I138" s="498" t="s">
        <v>496</v>
      </c>
      <c r="J138" s="501">
        <f t="shared" si="5"/>
        <v>1380</v>
      </c>
    </row>
    <row r="139" spans="1:10" ht="20.25" customHeight="1">
      <c r="A139" s="471">
        <v>5111</v>
      </c>
      <c r="B139" s="477" t="s">
        <v>445</v>
      </c>
      <c r="C139" s="473">
        <v>940</v>
      </c>
      <c r="D139" s="478">
        <v>1968</v>
      </c>
      <c r="E139" s="477">
        <v>39997</v>
      </c>
      <c r="F139" s="475" t="s">
        <v>446</v>
      </c>
      <c r="G139" s="476">
        <v>18</v>
      </c>
      <c r="H139" s="475" t="s">
        <v>497</v>
      </c>
      <c r="I139" s="498" t="s">
        <v>498</v>
      </c>
      <c r="J139" s="501">
        <f t="shared" ref="J139:J148" si="6">(24500*1.15)/10</f>
        <v>2817.4999999999995</v>
      </c>
    </row>
    <row r="140" spans="1:10" ht="20.25" customHeight="1">
      <c r="A140" s="471">
        <v>5111</v>
      </c>
      <c r="B140" s="477" t="s">
        <v>445</v>
      </c>
      <c r="C140" s="473">
        <v>941</v>
      </c>
      <c r="D140" s="478">
        <v>1968</v>
      </c>
      <c r="E140" s="477">
        <v>39997</v>
      </c>
      <c r="F140" s="475" t="s">
        <v>446</v>
      </c>
      <c r="G140" s="476">
        <v>18</v>
      </c>
      <c r="H140" s="475" t="s">
        <v>497</v>
      </c>
      <c r="I140" s="498" t="s">
        <v>498</v>
      </c>
      <c r="J140" s="501">
        <f t="shared" si="6"/>
        <v>2817.4999999999995</v>
      </c>
    </row>
    <row r="141" spans="1:10" ht="20.25" customHeight="1">
      <c r="A141" s="471">
        <v>5111</v>
      </c>
      <c r="B141" s="477" t="s">
        <v>445</v>
      </c>
      <c r="C141" s="473">
        <v>942</v>
      </c>
      <c r="D141" s="478">
        <v>1968</v>
      </c>
      <c r="E141" s="477">
        <v>39997</v>
      </c>
      <c r="F141" s="475" t="s">
        <v>446</v>
      </c>
      <c r="G141" s="476">
        <v>18</v>
      </c>
      <c r="H141" s="475" t="s">
        <v>497</v>
      </c>
      <c r="I141" s="498" t="s">
        <v>498</v>
      </c>
      <c r="J141" s="501">
        <f t="shared" si="6"/>
        <v>2817.4999999999995</v>
      </c>
    </row>
    <row r="142" spans="1:10" ht="20.25" customHeight="1">
      <c r="A142" s="471">
        <v>5111</v>
      </c>
      <c r="B142" s="477" t="s">
        <v>445</v>
      </c>
      <c r="C142" s="473">
        <v>943</v>
      </c>
      <c r="D142" s="478">
        <v>1968</v>
      </c>
      <c r="E142" s="477">
        <v>39997</v>
      </c>
      <c r="F142" s="475" t="s">
        <v>446</v>
      </c>
      <c r="G142" s="476">
        <v>18</v>
      </c>
      <c r="H142" s="475" t="s">
        <v>497</v>
      </c>
      <c r="I142" s="498" t="s">
        <v>498</v>
      </c>
      <c r="J142" s="501">
        <f t="shared" si="6"/>
        <v>2817.4999999999995</v>
      </c>
    </row>
    <row r="143" spans="1:10" ht="20.25" customHeight="1">
      <c r="A143" s="471">
        <v>5111</v>
      </c>
      <c r="B143" s="477" t="s">
        <v>445</v>
      </c>
      <c r="C143" s="473">
        <v>944</v>
      </c>
      <c r="D143" s="478">
        <v>1968</v>
      </c>
      <c r="E143" s="477">
        <v>39997</v>
      </c>
      <c r="F143" s="475" t="s">
        <v>446</v>
      </c>
      <c r="G143" s="476">
        <v>18</v>
      </c>
      <c r="H143" s="475" t="s">
        <v>497</v>
      </c>
      <c r="I143" s="498" t="s">
        <v>498</v>
      </c>
      <c r="J143" s="501">
        <f t="shared" si="6"/>
        <v>2817.4999999999995</v>
      </c>
    </row>
    <row r="144" spans="1:10" ht="20.25" customHeight="1">
      <c r="A144" s="471">
        <v>5111</v>
      </c>
      <c r="B144" s="477" t="s">
        <v>445</v>
      </c>
      <c r="C144" s="473">
        <v>945</v>
      </c>
      <c r="D144" s="478">
        <v>1968</v>
      </c>
      <c r="E144" s="477">
        <v>39997</v>
      </c>
      <c r="F144" s="475" t="s">
        <v>446</v>
      </c>
      <c r="G144" s="476">
        <v>18</v>
      </c>
      <c r="H144" s="475" t="s">
        <v>497</v>
      </c>
      <c r="I144" s="498" t="s">
        <v>498</v>
      </c>
      <c r="J144" s="501">
        <f t="shared" si="6"/>
        <v>2817.4999999999995</v>
      </c>
    </row>
    <row r="145" spans="1:10" ht="20.25" customHeight="1">
      <c r="A145" s="471">
        <v>5111</v>
      </c>
      <c r="B145" s="477" t="s">
        <v>445</v>
      </c>
      <c r="C145" s="473">
        <v>946</v>
      </c>
      <c r="D145" s="478">
        <v>1968</v>
      </c>
      <c r="E145" s="477">
        <v>39997</v>
      </c>
      <c r="F145" s="475" t="s">
        <v>446</v>
      </c>
      <c r="G145" s="476">
        <v>18</v>
      </c>
      <c r="H145" s="475" t="s">
        <v>497</v>
      </c>
      <c r="I145" s="498" t="s">
        <v>498</v>
      </c>
      <c r="J145" s="501">
        <f t="shared" si="6"/>
        <v>2817.4999999999995</v>
      </c>
    </row>
    <row r="146" spans="1:10" ht="20.25" customHeight="1">
      <c r="A146" s="471">
        <v>5111</v>
      </c>
      <c r="B146" s="477" t="s">
        <v>445</v>
      </c>
      <c r="C146" s="473">
        <v>947</v>
      </c>
      <c r="D146" s="478">
        <v>1968</v>
      </c>
      <c r="E146" s="477">
        <v>39997</v>
      </c>
      <c r="F146" s="475" t="s">
        <v>446</v>
      </c>
      <c r="G146" s="476">
        <v>18</v>
      </c>
      <c r="H146" s="475" t="s">
        <v>497</v>
      </c>
      <c r="I146" s="498" t="s">
        <v>498</v>
      </c>
      <c r="J146" s="501">
        <f t="shared" si="6"/>
        <v>2817.4999999999995</v>
      </c>
    </row>
    <row r="147" spans="1:10" ht="20.25" customHeight="1">
      <c r="A147" s="471">
        <v>5111</v>
      </c>
      <c r="B147" s="477" t="s">
        <v>445</v>
      </c>
      <c r="C147" s="473">
        <v>948</v>
      </c>
      <c r="D147" s="478">
        <v>1968</v>
      </c>
      <c r="E147" s="477">
        <v>39997</v>
      </c>
      <c r="F147" s="475" t="s">
        <v>446</v>
      </c>
      <c r="G147" s="476">
        <v>18</v>
      </c>
      <c r="H147" s="475" t="s">
        <v>497</v>
      </c>
      <c r="I147" s="498" t="s">
        <v>498</v>
      </c>
      <c r="J147" s="501">
        <f t="shared" si="6"/>
        <v>2817.4999999999995</v>
      </c>
    </row>
    <row r="148" spans="1:10" ht="20.25" customHeight="1">
      <c r="A148" s="471">
        <v>5111</v>
      </c>
      <c r="B148" s="477" t="s">
        <v>445</v>
      </c>
      <c r="C148" s="473">
        <v>949</v>
      </c>
      <c r="D148" s="478">
        <v>1968</v>
      </c>
      <c r="E148" s="477">
        <v>39997</v>
      </c>
      <c r="F148" s="475" t="s">
        <v>446</v>
      </c>
      <c r="G148" s="476">
        <v>18</v>
      </c>
      <c r="H148" s="475" t="s">
        <v>497</v>
      </c>
      <c r="I148" s="498" t="s">
        <v>498</v>
      </c>
      <c r="J148" s="501">
        <f t="shared" si="6"/>
        <v>2817.4999999999995</v>
      </c>
    </row>
    <row r="149" spans="1:10" ht="20.25" customHeight="1">
      <c r="A149" s="471">
        <v>5111</v>
      </c>
      <c r="B149" s="472" t="s">
        <v>445</v>
      </c>
      <c r="C149" s="473">
        <v>950</v>
      </c>
      <c r="D149" s="478">
        <v>1968</v>
      </c>
      <c r="E149" s="472">
        <v>39997</v>
      </c>
      <c r="F149" s="475" t="s">
        <v>446</v>
      </c>
      <c r="G149" s="476">
        <v>19</v>
      </c>
      <c r="H149" s="475" t="s">
        <v>499</v>
      </c>
      <c r="I149" s="498" t="s">
        <v>500</v>
      </c>
      <c r="J149" s="499">
        <f>1995*1.15</f>
        <v>2294.25</v>
      </c>
    </row>
    <row r="150" spans="1:10" ht="20.25" customHeight="1">
      <c r="A150" s="471">
        <v>5111</v>
      </c>
      <c r="B150" s="472" t="s">
        <v>445</v>
      </c>
      <c r="C150" s="473">
        <v>951</v>
      </c>
      <c r="D150" s="471">
        <v>4239</v>
      </c>
      <c r="E150" s="472">
        <v>40196</v>
      </c>
      <c r="F150" s="477" t="s">
        <v>446</v>
      </c>
      <c r="G150" s="479">
        <v>20</v>
      </c>
      <c r="H150" s="477" t="s">
        <v>501</v>
      </c>
      <c r="I150" s="498" t="s">
        <v>502</v>
      </c>
      <c r="J150" s="499">
        <f>3246.84/3</f>
        <v>1082.28</v>
      </c>
    </row>
    <row r="151" spans="1:10" ht="20.25" customHeight="1">
      <c r="A151" s="471">
        <v>5111</v>
      </c>
      <c r="B151" s="472" t="s">
        <v>445</v>
      </c>
      <c r="C151" s="473">
        <v>952</v>
      </c>
      <c r="D151" s="471">
        <v>4239</v>
      </c>
      <c r="E151" s="472">
        <v>40196</v>
      </c>
      <c r="F151" s="477" t="s">
        <v>446</v>
      </c>
      <c r="G151" s="479">
        <v>20</v>
      </c>
      <c r="H151" s="477" t="s">
        <v>501</v>
      </c>
      <c r="I151" s="498" t="s">
        <v>502</v>
      </c>
      <c r="J151" s="499">
        <f>3246.84/3</f>
        <v>1082.28</v>
      </c>
    </row>
    <row r="152" spans="1:10" ht="20.25" customHeight="1">
      <c r="A152" s="471">
        <v>5111</v>
      </c>
      <c r="B152" s="472" t="s">
        <v>445</v>
      </c>
      <c r="C152" s="473">
        <v>953</v>
      </c>
      <c r="D152" s="471">
        <v>4239</v>
      </c>
      <c r="E152" s="472">
        <v>40196</v>
      </c>
      <c r="F152" s="477" t="s">
        <v>446</v>
      </c>
      <c r="G152" s="479">
        <v>20</v>
      </c>
      <c r="H152" s="477" t="s">
        <v>501</v>
      </c>
      <c r="I152" s="498" t="s">
        <v>502</v>
      </c>
      <c r="J152" s="499">
        <f>3246.84/3</f>
        <v>1082.28</v>
      </c>
    </row>
    <row r="153" spans="1:10" ht="20.25" customHeight="1">
      <c r="A153" s="471">
        <v>5111</v>
      </c>
      <c r="B153" s="472" t="s">
        <v>445</v>
      </c>
      <c r="C153" s="473">
        <v>954</v>
      </c>
      <c r="D153" s="471">
        <v>82407</v>
      </c>
      <c r="E153" s="472">
        <v>40207</v>
      </c>
      <c r="F153" s="477" t="s">
        <v>446</v>
      </c>
      <c r="G153" s="479">
        <v>21</v>
      </c>
      <c r="H153" s="477" t="s">
        <v>503</v>
      </c>
      <c r="I153" s="498" t="s">
        <v>504</v>
      </c>
      <c r="J153" s="499">
        <f t="shared" ref="J153:J196" si="7">(33220*1.16)/44</f>
        <v>875.8</v>
      </c>
    </row>
    <row r="154" spans="1:10" ht="20.25" customHeight="1">
      <c r="A154" s="471">
        <v>5111</v>
      </c>
      <c r="B154" s="472" t="s">
        <v>445</v>
      </c>
      <c r="C154" s="473">
        <v>955</v>
      </c>
      <c r="D154" s="471">
        <v>82407</v>
      </c>
      <c r="E154" s="472">
        <v>40207</v>
      </c>
      <c r="F154" s="477" t="s">
        <v>446</v>
      </c>
      <c r="G154" s="479">
        <v>21</v>
      </c>
      <c r="H154" s="477" t="s">
        <v>503</v>
      </c>
      <c r="I154" s="498" t="s">
        <v>504</v>
      </c>
      <c r="J154" s="499">
        <f t="shared" si="7"/>
        <v>875.8</v>
      </c>
    </row>
    <row r="155" spans="1:10" ht="20.25" customHeight="1">
      <c r="A155" s="471">
        <v>5111</v>
      </c>
      <c r="B155" s="472" t="s">
        <v>445</v>
      </c>
      <c r="C155" s="473">
        <v>956</v>
      </c>
      <c r="D155" s="471">
        <v>82407</v>
      </c>
      <c r="E155" s="472">
        <v>40207</v>
      </c>
      <c r="F155" s="477" t="s">
        <v>446</v>
      </c>
      <c r="G155" s="479">
        <v>21</v>
      </c>
      <c r="H155" s="477" t="s">
        <v>503</v>
      </c>
      <c r="I155" s="498" t="s">
        <v>504</v>
      </c>
      <c r="J155" s="499">
        <f t="shared" si="7"/>
        <v>875.8</v>
      </c>
    </row>
    <row r="156" spans="1:10" ht="20.25" customHeight="1">
      <c r="A156" s="471">
        <v>5111</v>
      </c>
      <c r="B156" s="472" t="s">
        <v>445</v>
      </c>
      <c r="C156" s="473">
        <v>957</v>
      </c>
      <c r="D156" s="471">
        <v>82407</v>
      </c>
      <c r="E156" s="472">
        <v>40207</v>
      </c>
      <c r="F156" s="477" t="s">
        <v>446</v>
      </c>
      <c r="G156" s="479">
        <v>21</v>
      </c>
      <c r="H156" s="477" t="s">
        <v>503</v>
      </c>
      <c r="I156" s="498" t="s">
        <v>504</v>
      </c>
      <c r="J156" s="499">
        <f t="shared" si="7"/>
        <v>875.8</v>
      </c>
    </row>
    <row r="157" spans="1:10" ht="20.25" customHeight="1">
      <c r="A157" s="471">
        <v>5111</v>
      </c>
      <c r="B157" s="472" t="s">
        <v>445</v>
      </c>
      <c r="C157" s="473">
        <v>958</v>
      </c>
      <c r="D157" s="471">
        <v>82407</v>
      </c>
      <c r="E157" s="472">
        <v>40207</v>
      </c>
      <c r="F157" s="477" t="s">
        <v>446</v>
      </c>
      <c r="G157" s="479">
        <v>21</v>
      </c>
      <c r="H157" s="477" t="s">
        <v>503</v>
      </c>
      <c r="I157" s="498" t="s">
        <v>504</v>
      </c>
      <c r="J157" s="499">
        <f t="shared" si="7"/>
        <v>875.8</v>
      </c>
    </row>
    <row r="158" spans="1:10" ht="20.25" customHeight="1">
      <c r="A158" s="471">
        <v>5111</v>
      </c>
      <c r="B158" s="472" t="s">
        <v>445</v>
      </c>
      <c r="C158" s="473">
        <v>959</v>
      </c>
      <c r="D158" s="471">
        <v>82407</v>
      </c>
      <c r="E158" s="472">
        <v>40207</v>
      </c>
      <c r="F158" s="477" t="s">
        <v>446</v>
      </c>
      <c r="G158" s="479">
        <v>21</v>
      </c>
      <c r="H158" s="477" t="s">
        <v>503</v>
      </c>
      <c r="I158" s="498" t="s">
        <v>504</v>
      </c>
      <c r="J158" s="499">
        <f t="shared" si="7"/>
        <v>875.8</v>
      </c>
    </row>
    <row r="159" spans="1:10" ht="20.25" customHeight="1">
      <c r="A159" s="471">
        <v>5111</v>
      </c>
      <c r="B159" s="472" t="s">
        <v>445</v>
      </c>
      <c r="C159" s="473">
        <v>960</v>
      </c>
      <c r="D159" s="471">
        <v>82407</v>
      </c>
      <c r="E159" s="472">
        <v>40207</v>
      </c>
      <c r="F159" s="477" t="s">
        <v>446</v>
      </c>
      <c r="G159" s="479">
        <v>21</v>
      </c>
      <c r="H159" s="477" t="s">
        <v>503</v>
      </c>
      <c r="I159" s="498" t="s">
        <v>504</v>
      </c>
      <c r="J159" s="499">
        <f t="shared" si="7"/>
        <v>875.8</v>
      </c>
    </row>
    <row r="160" spans="1:10" ht="20.25" customHeight="1">
      <c r="A160" s="471">
        <v>5111</v>
      </c>
      <c r="B160" s="472" t="s">
        <v>445</v>
      </c>
      <c r="C160" s="473">
        <v>961</v>
      </c>
      <c r="D160" s="471">
        <v>82407</v>
      </c>
      <c r="E160" s="472">
        <v>40207</v>
      </c>
      <c r="F160" s="477" t="s">
        <v>446</v>
      </c>
      <c r="G160" s="479">
        <v>21</v>
      </c>
      <c r="H160" s="477" t="s">
        <v>503</v>
      </c>
      <c r="I160" s="498" t="s">
        <v>504</v>
      </c>
      <c r="J160" s="499">
        <f t="shared" si="7"/>
        <v>875.8</v>
      </c>
    </row>
    <row r="161" spans="1:10" ht="20.25" customHeight="1">
      <c r="A161" s="471">
        <v>5111</v>
      </c>
      <c r="B161" s="472" t="s">
        <v>445</v>
      </c>
      <c r="C161" s="473">
        <v>962</v>
      </c>
      <c r="D161" s="471">
        <v>82407</v>
      </c>
      <c r="E161" s="472">
        <v>40207</v>
      </c>
      <c r="F161" s="477" t="s">
        <v>446</v>
      </c>
      <c r="G161" s="479">
        <v>21</v>
      </c>
      <c r="H161" s="477" t="s">
        <v>503</v>
      </c>
      <c r="I161" s="498" t="s">
        <v>504</v>
      </c>
      <c r="J161" s="499">
        <f t="shared" si="7"/>
        <v>875.8</v>
      </c>
    </row>
    <row r="162" spans="1:10" ht="20.25" customHeight="1">
      <c r="A162" s="471">
        <v>5111</v>
      </c>
      <c r="B162" s="472" t="s">
        <v>445</v>
      </c>
      <c r="C162" s="473">
        <v>963</v>
      </c>
      <c r="D162" s="471">
        <v>82407</v>
      </c>
      <c r="E162" s="472">
        <v>40207</v>
      </c>
      <c r="F162" s="477" t="s">
        <v>446</v>
      </c>
      <c r="G162" s="479">
        <v>21</v>
      </c>
      <c r="H162" s="477" t="s">
        <v>503</v>
      </c>
      <c r="I162" s="498" t="s">
        <v>504</v>
      </c>
      <c r="J162" s="499">
        <f t="shared" si="7"/>
        <v>875.8</v>
      </c>
    </row>
    <row r="163" spans="1:10" ht="20.25" customHeight="1">
      <c r="A163" s="471">
        <v>5111</v>
      </c>
      <c r="B163" s="472" t="s">
        <v>445</v>
      </c>
      <c r="C163" s="473">
        <v>964</v>
      </c>
      <c r="D163" s="471">
        <v>82407</v>
      </c>
      <c r="E163" s="472">
        <v>40207</v>
      </c>
      <c r="F163" s="477" t="s">
        <v>446</v>
      </c>
      <c r="G163" s="479">
        <v>21</v>
      </c>
      <c r="H163" s="477" t="s">
        <v>503</v>
      </c>
      <c r="I163" s="498" t="s">
        <v>504</v>
      </c>
      <c r="J163" s="499">
        <f t="shared" si="7"/>
        <v>875.8</v>
      </c>
    </row>
    <row r="164" spans="1:10" ht="20.25" customHeight="1">
      <c r="A164" s="471">
        <v>5111</v>
      </c>
      <c r="B164" s="472" t="s">
        <v>445</v>
      </c>
      <c r="C164" s="473">
        <v>965</v>
      </c>
      <c r="D164" s="471">
        <v>82407</v>
      </c>
      <c r="E164" s="472">
        <v>40207</v>
      </c>
      <c r="F164" s="477" t="s">
        <v>446</v>
      </c>
      <c r="G164" s="479">
        <v>21</v>
      </c>
      <c r="H164" s="477" t="s">
        <v>503</v>
      </c>
      <c r="I164" s="498" t="s">
        <v>504</v>
      </c>
      <c r="J164" s="499">
        <f t="shared" si="7"/>
        <v>875.8</v>
      </c>
    </row>
    <row r="165" spans="1:10" ht="20.25" customHeight="1">
      <c r="A165" s="471">
        <v>5111</v>
      </c>
      <c r="B165" s="472" t="s">
        <v>445</v>
      </c>
      <c r="C165" s="473">
        <v>966</v>
      </c>
      <c r="D165" s="471">
        <v>82407</v>
      </c>
      <c r="E165" s="472">
        <v>40207</v>
      </c>
      <c r="F165" s="477" t="s">
        <v>446</v>
      </c>
      <c r="G165" s="479">
        <v>21</v>
      </c>
      <c r="H165" s="477" t="s">
        <v>503</v>
      </c>
      <c r="I165" s="498" t="s">
        <v>504</v>
      </c>
      <c r="J165" s="499">
        <f t="shared" si="7"/>
        <v>875.8</v>
      </c>
    </row>
    <row r="166" spans="1:10" ht="20.25" customHeight="1">
      <c r="A166" s="471">
        <v>5111</v>
      </c>
      <c r="B166" s="472" t="s">
        <v>445</v>
      </c>
      <c r="C166" s="473">
        <v>967</v>
      </c>
      <c r="D166" s="471">
        <v>82407</v>
      </c>
      <c r="E166" s="472">
        <v>40207</v>
      </c>
      <c r="F166" s="477" t="s">
        <v>446</v>
      </c>
      <c r="G166" s="479">
        <v>21</v>
      </c>
      <c r="H166" s="477" t="s">
        <v>503</v>
      </c>
      <c r="I166" s="498" t="s">
        <v>504</v>
      </c>
      <c r="J166" s="499">
        <f t="shared" si="7"/>
        <v>875.8</v>
      </c>
    </row>
    <row r="167" spans="1:10" ht="20.25" customHeight="1">
      <c r="A167" s="471">
        <v>5111</v>
      </c>
      <c r="B167" s="472" t="s">
        <v>445</v>
      </c>
      <c r="C167" s="473">
        <v>968</v>
      </c>
      <c r="D167" s="471">
        <v>82407</v>
      </c>
      <c r="E167" s="472">
        <v>40207</v>
      </c>
      <c r="F167" s="477" t="s">
        <v>446</v>
      </c>
      <c r="G167" s="479">
        <v>21</v>
      </c>
      <c r="H167" s="477" t="s">
        <v>503</v>
      </c>
      <c r="I167" s="498" t="s">
        <v>504</v>
      </c>
      <c r="J167" s="499">
        <f t="shared" si="7"/>
        <v>875.8</v>
      </c>
    </row>
    <row r="168" spans="1:10" ht="20.25" customHeight="1">
      <c r="A168" s="471">
        <v>5111</v>
      </c>
      <c r="B168" s="472" t="s">
        <v>445</v>
      </c>
      <c r="C168" s="473">
        <v>969</v>
      </c>
      <c r="D168" s="471">
        <v>82407</v>
      </c>
      <c r="E168" s="472">
        <v>40207</v>
      </c>
      <c r="F168" s="477" t="s">
        <v>446</v>
      </c>
      <c r="G168" s="479">
        <v>21</v>
      </c>
      <c r="H168" s="477" t="s">
        <v>503</v>
      </c>
      <c r="I168" s="498" t="s">
        <v>504</v>
      </c>
      <c r="J168" s="499">
        <f t="shared" si="7"/>
        <v>875.8</v>
      </c>
    </row>
    <row r="169" spans="1:10" ht="20.25" customHeight="1">
      <c r="A169" s="471">
        <v>5111</v>
      </c>
      <c r="B169" s="472" t="s">
        <v>445</v>
      </c>
      <c r="C169" s="473">
        <v>970</v>
      </c>
      <c r="D169" s="471">
        <v>82407</v>
      </c>
      <c r="E169" s="472">
        <v>40207</v>
      </c>
      <c r="F169" s="477" t="s">
        <v>446</v>
      </c>
      <c r="G169" s="479">
        <v>21</v>
      </c>
      <c r="H169" s="477" t="s">
        <v>503</v>
      </c>
      <c r="I169" s="498" t="s">
        <v>504</v>
      </c>
      <c r="J169" s="499">
        <f t="shared" si="7"/>
        <v>875.8</v>
      </c>
    </row>
    <row r="170" spans="1:10" ht="20.25" customHeight="1">
      <c r="A170" s="471">
        <v>5111</v>
      </c>
      <c r="B170" s="472" t="s">
        <v>445</v>
      </c>
      <c r="C170" s="473">
        <v>971</v>
      </c>
      <c r="D170" s="471">
        <v>82407</v>
      </c>
      <c r="E170" s="472">
        <v>40207</v>
      </c>
      <c r="F170" s="477" t="s">
        <v>446</v>
      </c>
      <c r="G170" s="479">
        <v>21</v>
      </c>
      <c r="H170" s="477" t="s">
        <v>503</v>
      </c>
      <c r="I170" s="498" t="s">
        <v>504</v>
      </c>
      <c r="J170" s="499">
        <f t="shared" si="7"/>
        <v>875.8</v>
      </c>
    </row>
    <row r="171" spans="1:10" ht="20.25" customHeight="1">
      <c r="A171" s="471">
        <v>5111</v>
      </c>
      <c r="B171" s="472" t="s">
        <v>445</v>
      </c>
      <c r="C171" s="473">
        <v>972</v>
      </c>
      <c r="D171" s="471">
        <v>82407</v>
      </c>
      <c r="E171" s="472">
        <v>40207</v>
      </c>
      <c r="F171" s="477" t="s">
        <v>446</v>
      </c>
      <c r="G171" s="479">
        <v>21</v>
      </c>
      <c r="H171" s="477" t="s">
        <v>503</v>
      </c>
      <c r="I171" s="498" t="s">
        <v>504</v>
      </c>
      <c r="J171" s="499">
        <f t="shared" si="7"/>
        <v>875.8</v>
      </c>
    </row>
    <row r="172" spans="1:10" ht="20.25" customHeight="1">
      <c r="A172" s="471">
        <v>5111</v>
      </c>
      <c r="B172" s="472" t="s">
        <v>445</v>
      </c>
      <c r="C172" s="473">
        <v>973</v>
      </c>
      <c r="D172" s="471">
        <v>82407</v>
      </c>
      <c r="E172" s="472">
        <v>40207</v>
      </c>
      <c r="F172" s="477" t="s">
        <v>446</v>
      </c>
      <c r="G172" s="479">
        <v>21</v>
      </c>
      <c r="H172" s="477" t="s">
        <v>503</v>
      </c>
      <c r="I172" s="498" t="s">
        <v>504</v>
      </c>
      <c r="J172" s="499">
        <f t="shared" si="7"/>
        <v>875.8</v>
      </c>
    </row>
    <row r="173" spans="1:10" ht="20.25" customHeight="1">
      <c r="A173" s="471">
        <v>5111</v>
      </c>
      <c r="B173" s="472" t="s">
        <v>445</v>
      </c>
      <c r="C173" s="473">
        <v>974</v>
      </c>
      <c r="D173" s="471">
        <v>82407</v>
      </c>
      <c r="E173" s="472">
        <v>40207</v>
      </c>
      <c r="F173" s="477" t="s">
        <v>446</v>
      </c>
      <c r="G173" s="479">
        <v>21</v>
      </c>
      <c r="H173" s="477" t="s">
        <v>503</v>
      </c>
      <c r="I173" s="498" t="s">
        <v>504</v>
      </c>
      <c r="J173" s="499">
        <f t="shared" si="7"/>
        <v>875.8</v>
      </c>
    </row>
    <row r="174" spans="1:10" ht="20.25" customHeight="1">
      <c r="A174" s="471">
        <v>5111</v>
      </c>
      <c r="B174" s="472" t="s">
        <v>445</v>
      </c>
      <c r="C174" s="473">
        <v>975</v>
      </c>
      <c r="D174" s="471">
        <v>82407</v>
      </c>
      <c r="E174" s="472">
        <v>40207</v>
      </c>
      <c r="F174" s="477" t="s">
        <v>446</v>
      </c>
      <c r="G174" s="479">
        <v>21</v>
      </c>
      <c r="H174" s="477" t="s">
        <v>503</v>
      </c>
      <c r="I174" s="498" t="s">
        <v>504</v>
      </c>
      <c r="J174" s="499">
        <f t="shared" si="7"/>
        <v>875.8</v>
      </c>
    </row>
    <row r="175" spans="1:10" ht="20.25" customHeight="1">
      <c r="A175" s="471">
        <v>5111</v>
      </c>
      <c r="B175" s="472" t="s">
        <v>445</v>
      </c>
      <c r="C175" s="473">
        <v>976</v>
      </c>
      <c r="D175" s="471">
        <v>82407</v>
      </c>
      <c r="E175" s="472">
        <v>40207</v>
      </c>
      <c r="F175" s="477" t="s">
        <v>446</v>
      </c>
      <c r="G175" s="479">
        <v>21</v>
      </c>
      <c r="H175" s="477" t="s">
        <v>503</v>
      </c>
      <c r="I175" s="498" t="s">
        <v>504</v>
      </c>
      <c r="J175" s="499">
        <f t="shared" si="7"/>
        <v>875.8</v>
      </c>
    </row>
    <row r="176" spans="1:10" ht="20.25" customHeight="1">
      <c r="A176" s="471">
        <v>5111</v>
      </c>
      <c r="B176" s="472" t="s">
        <v>445</v>
      </c>
      <c r="C176" s="473">
        <v>977</v>
      </c>
      <c r="D176" s="471">
        <v>82407</v>
      </c>
      <c r="E176" s="472">
        <v>40207</v>
      </c>
      <c r="F176" s="477" t="s">
        <v>446</v>
      </c>
      <c r="G176" s="479">
        <v>21</v>
      </c>
      <c r="H176" s="477" t="s">
        <v>503</v>
      </c>
      <c r="I176" s="498" t="s">
        <v>504</v>
      </c>
      <c r="J176" s="499">
        <f t="shared" si="7"/>
        <v>875.8</v>
      </c>
    </row>
    <row r="177" spans="1:10" ht="20.25" customHeight="1">
      <c r="A177" s="471">
        <v>5111</v>
      </c>
      <c r="B177" s="472" t="s">
        <v>445</v>
      </c>
      <c r="C177" s="473">
        <v>978</v>
      </c>
      <c r="D177" s="471">
        <v>82407</v>
      </c>
      <c r="E177" s="472">
        <v>40207</v>
      </c>
      <c r="F177" s="477" t="s">
        <v>446</v>
      </c>
      <c r="G177" s="479">
        <v>21</v>
      </c>
      <c r="H177" s="477" t="s">
        <v>503</v>
      </c>
      <c r="I177" s="498" t="s">
        <v>504</v>
      </c>
      <c r="J177" s="499">
        <f t="shared" si="7"/>
        <v>875.8</v>
      </c>
    </row>
    <row r="178" spans="1:10" ht="20.25" customHeight="1">
      <c r="A178" s="471">
        <v>5111</v>
      </c>
      <c r="B178" s="472" t="s">
        <v>445</v>
      </c>
      <c r="C178" s="473">
        <v>979</v>
      </c>
      <c r="D178" s="471">
        <v>82407</v>
      </c>
      <c r="E178" s="472">
        <v>40207</v>
      </c>
      <c r="F178" s="477" t="s">
        <v>446</v>
      </c>
      <c r="G178" s="479">
        <v>21</v>
      </c>
      <c r="H178" s="477" t="s">
        <v>503</v>
      </c>
      <c r="I178" s="498" t="s">
        <v>504</v>
      </c>
      <c r="J178" s="499">
        <f t="shared" si="7"/>
        <v>875.8</v>
      </c>
    </row>
    <row r="179" spans="1:10" ht="20.25" customHeight="1">
      <c r="A179" s="471">
        <v>5111</v>
      </c>
      <c r="B179" s="472" t="s">
        <v>445</v>
      </c>
      <c r="C179" s="473">
        <v>980</v>
      </c>
      <c r="D179" s="471">
        <v>82407</v>
      </c>
      <c r="E179" s="472">
        <v>40207</v>
      </c>
      <c r="F179" s="477" t="s">
        <v>446</v>
      </c>
      <c r="G179" s="479">
        <v>21</v>
      </c>
      <c r="H179" s="477" t="s">
        <v>503</v>
      </c>
      <c r="I179" s="498" t="s">
        <v>504</v>
      </c>
      <c r="J179" s="499">
        <f t="shared" si="7"/>
        <v>875.8</v>
      </c>
    </row>
    <row r="180" spans="1:10" ht="20.25" customHeight="1">
      <c r="A180" s="471">
        <v>5111</v>
      </c>
      <c r="B180" s="472" t="s">
        <v>445</v>
      </c>
      <c r="C180" s="473">
        <v>981</v>
      </c>
      <c r="D180" s="471">
        <v>82407</v>
      </c>
      <c r="E180" s="472">
        <v>40207</v>
      </c>
      <c r="F180" s="477" t="s">
        <v>446</v>
      </c>
      <c r="G180" s="479">
        <v>21</v>
      </c>
      <c r="H180" s="477" t="s">
        <v>503</v>
      </c>
      <c r="I180" s="498" t="s">
        <v>504</v>
      </c>
      <c r="J180" s="499">
        <f t="shared" si="7"/>
        <v>875.8</v>
      </c>
    </row>
    <row r="181" spans="1:10" ht="20.25" customHeight="1">
      <c r="A181" s="471">
        <v>5111</v>
      </c>
      <c r="B181" s="472" t="s">
        <v>445</v>
      </c>
      <c r="C181" s="473">
        <v>982</v>
      </c>
      <c r="D181" s="471">
        <v>82407</v>
      </c>
      <c r="E181" s="472">
        <v>40207</v>
      </c>
      <c r="F181" s="477" t="s">
        <v>446</v>
      </c>
      <c r="G181" s="479">
        <v>21</v>
      </c>
      <c r="H181" s="477" t="s">
        <v>503</v>
      </c>
      <c r="I181" s="498" t="s">
        <v>504</v>
      </c>
      <c r="J181" s="499">
        <f t="shared" si="7"/>
        <v>875.8</v>
      </c>
    </row>
    <row r="182" spans="1:10" ht="20.25" customHeight="1">
      <c r="A182" s="471">
        <v>5111</v>
      </c>
      <c r="B182" s="472" t="s">
        <v>445</v>
      </c>
      <c r="C182" s="473">
        <v>983</v>
      </c>
      <c r="D182" s="471">
        <v>82407</v>
      </c>
      <c r="E182" s="472">
        <v>40207</v>
      </c>
      <c r="F182" s="477" t="s">
        <v>446</v>
      </c>
      <c r="G182" s="479">
        <v>21</v>
      </c>
      <c r="H182" s="477" t="s">
        <v>503</v>
      </c>
      <c r="I182" s="498" t="s">
        <v>504</v>
      </c>
      <c r="J182" s="499">
        <f t="shared" si="7"/>
        <v>875.8</v>
      </c>
    </row>
    <row r="183" spans="1:10" ht="20.25" customHeight="1">
      <c r="A183" s="471">
        <v>5111</v>
      </c>
      <c r="B183" s="472" t="s">
        <v>445</v>
      </c>
      <c r="C183" s="473">
        <v>984</v>
      </c>
      <c r="D183" s="471">
        <v>82407</v>
      </c>
      <c r="E183" s="472">
        <v>40207</v>
      </c>
      <c r="F183" s="477" t="s">
        <v>446</v>
      </c>
      <c r="G183" s="479">
        <v>21</v>
      </c>
      <c r="H183" s="477" t="s">
        <v>503</v>
      </c>
      <c r="I183" s="498" t="s">
        <v>504</v>
      </c>
      <c r="J183" s="499">
        <f t="shared" si="7"/>
        <v>875.8</v>
      </c>
    </row>
    <row r="184" spans="1:10" ht="20.25" customHeight="1">
      <c r="A184" s="471">
        <v>5111</v>
      </c>
      <c r="B184" s="472" t="s">
        <v>445</v>
      </c>
      <c r="C184" s="473">
        <v>985</v>
      </c>
      <c r="D184" s="471">
        <v>82407</v>
      </c>
      <c r="E184" s="472">
        <v>40207</v>
      </c>
      <c r="F184" s="477" t="s">
        <v>446</v>
      </c>
      <c r="G184" s="479">
        <v>21</v>
      </c>
      <c r="H184" s="477" t="s">
        <v>503</v>
      </c>
      <c r="I184" s="498" t="s">
        <v>504</v>
      </c>
      <c r="J184" s="499">
        <f t="shared" si="7"/>
        <v>875.8</v>
      </c>
    </row>
    <row r="185" spans="1:10" ht="20.25" customHeight="1">
      <c r="A185" s="471">
        <v>5111</v>
      </c>
      <c r="B185" s="472" t="s">
        <v>445</v>
      </c>
      <c r="C185" s="473">
        <v>986</v>
      </c>
      <c r="D185" s="471">
        <v>82407</v>
      </c>
      <c r="E185" s="472">
        <v>40207</v>
      </c>
      <c r="F185" s="477" t="s">
        <v>446</v>
      </c>
      <c r="G185" s="479">
        <v>21</v>
      </c>
      <c r="H185" s="477" t="s">
        <v>503</v>
      </c>
      <c r="I185" s="498" t="s">
        <v>504</v>
      </c>
      <c r="J185" s="499">
        <f t="shared" si="7"/>
        <v>875.8</v>
      </c>
    </row>
    <row r="186" spans="1:10" ht="20.25" customHeight="1">
      <c r="A186" s="471">
        <v>5111</v>
      </c>
      <c r="B186" s="472" t="s">
        <v>445</v>
      </c>
      <c r="C186" s="473">
        <v>987</v>
      </c>
      <c r="D186" s="471">
        <v>82407</v>
      </c>
      <c r="E186" s="472">
        <v>40207</v>
      </c>
      <c r="F186" s="477" t="s">
        <v>446</v>
      </c>
      <c r="G186" s="479">
        <v>21</v>
      </c>
      <c r="H186" s="477" t="s">
        <v>503</v>
      </c>
      <c r="I186" s="498" t="s">
        <v>504</v>
      </c>
      <c r="J186" s="499">
        <f t="shared" si="7"/>
        <v>875.8</v>
      </c>
    </row>
    <row r="187" spans="1:10" ht="20.25" customHeight="1">
      <c r="A187" s="471">
        <v>5111</v>
      </c>
      <c r="B187" s="472" t="s">
        <v>445</v>
      </c>
      <c r="C187" s="473">
        <v>988</v>
      </c>
      <c r="D187" s="471">
        <v>82407</v>
      </c>
      <c r="E187" s="472">
        <v>40207</v>
      </c>
      <c r="F187" s="477" t="s">
        <v>446</v>
      </c>
      <c r="G187" s="479">
        <v>21</v>
      </c>
      <c r="H187" s="477" t="s">
        <v>503</v>
      </c>
      <c r="I187" s="498" t="s">
        <v>504</v>
      </c>
      <c r="J187" s="499">
        <f t="shared" si="7"/>
        <v>875.8</v>
      </c>
    </row>
    <row r="188" spans="1:10" ht="20.25" customHeight="1">
      <c r="A188" s="471">
        <v>5111</v>
      </c>
      <c r="B188" s="472" t="s">
        <v>445</v>
      </c>
      <c r="C188" s="473">
        <v>989</v>
      </c>
      <c r="D188" s="471">
        <v>82407</v>
      </c>
      <c r="E188" s="472">
        <v>40207</v>
      </c>
      <c r="F188" s="477" t="s">
        <v>446</v>
      </c>
      <c r="G188" s="479">
        <v>21</v>
      </c>
      <c r="H188" s="477" t="s">
        <v>503</v>
      </c>
      <c r="I188" s="498" t="s">
        <v>504</v>
      </c>
      <c r="J188" s="499">
        <f t="shared" si="7"/>
        <v>875.8</v>
      </c>
    </row>
    <row r="189" spans="1:10" ht="20.25" customHeight="1">
      <c r="A189" s="471">
        <v>5111</v>
      </c>
      <c r="B189" s="472" t="s">
        <v>445</v>
      </c>
      <c r="C189" s="473">
        <v>990</v>
      </c>
      <c r="D189" s="471">
        <v>82407</v>
      </c>
      <c r="E189" s="472">
        <v>40207</v>
      </c>
      <c r="F189" s="477" t="s">
        <v>446</v>
      </c>
      <c r="G189" s="479">
        <v>21</v>
      </c>
      <c r="H189" s="477" t="s">
        <v>503</v>
      </c>
      <c r="I189" s="498" t="s">
        <v>504</v>
      </c>
      <c r="J189" s="499">
        <f t="shared" si="7"/>
        <v>875.8</v>
      </c>
    </row>
    <row r="190" spans="1:10" ht="20.25" customHeight="1">
      <c r="A190" s="471">
        <v>5111</v>
      </c>
      <c r="B190" s="472" t="s">
        <v>445</v>
      </c>
      <c r="C190" s="473">
        <v>991</v>
      </c>
      <c r="D190" s="471">
        <v>82407</v>
      </c>
      <c r="E190" s="472">
        <v>40207</v>
      </c>
      <c r="F190" s="477" t="s">
        <v>446</v>
      </c>
      <c r="G190" s="479">
        <v>21</v>
      </c>
      <c r="H190" s="477" t="s">
        <v>503</v>
      </c>
      <c r="I190" s="498" t="s">
        <v>504</v>
      </c>
      <c r="J190" s="499">
        <f t="shared" si="7"/>
        <v>875.8</v>
      </c>
    </row>
    <row r="191" spans="1:10" ht="20.25" customHeight="1">
      <c r="A191" s="471">
        <v>5111</v>
      </c>
      <c r="B191" s="472" t="s">
        <v>445</v>
      </c>
      <c r="C191" s="473">
        <v>992</v>
      </c>
      <c r="D191" s="471">
        <v>82407</v>
      </c>
      <c r="E191" s="472">
        <v>40207</v>
      </c>
      <c r="F191" s="477" t="s">
        <v>446</v>
      </c>
      <c r="G191" s="479">
        <v>21</v>
      </c>
      <c r="H191" s="477" t="s">
        <v>503</v>
      </c>
      <c r="I191" s="498" t="s">
        <v>504</v>
      </c>
      <c r="J191" s="499">
        <f t="shared" si="7"/>
        <v>875.8</v>
      </c>
    </row>
    <row r="192" spans="1:10" ht="20.25" customHeight="1">
      <c r="A192" s="471">
        <v>5111</v>
      </c>
      <c r="B192" s="472" t="s">
        <v>445</v>
      </c>
      <c r="C192" s="473">
        <v>993</v>
      </c>
      <c r="D192" s="471">
        <v>82407</v>
      </c>
      <c r="E192" s="472">
        <v>40207</v>
      </c>
      <c r="F192" s="477" t="s">
        <v>446</v>
      </c>
      <c r="G192" s="479">
        <v>21</v>
      </c>
      <c r="H192" s="477" t="s">
        <v>503</v>
      </c>
      <c r="I192" s="498" t="s">
        <v>504</v>
      </c>
      <c r="J192" s="499">
        <f t="shared" si="7"/>
        <v>875.8</v>
      </c>
    </row>
    <row r="193" spans="1:10" ht="20.25" customHeight="1">
      <c r="A193" s="471">
        <v>5111</v>
      </c>
      <c r="B193" s="472" t="s">
        <v>445</v>
      </c>
      <c r="C193" s="473">
        <v>994</v>
      </c>
      <c r="D193" s="471">
        <v>82407</v>
      </c>
      <c r="E193" s="472">
        <v>40207</v>
      </c>
      <c r="F193" s="477" t="s">
        <v>446</v>
      </c>
      <c r="G193" s="479">
        <v>21</v>
      </c>
      <c r="H193" s="477" t="s">
        <v>503</v>
      </c>
      <c r="I193" s="498" t="s">
        <v>504</v>
      </c>
      <c r="J193" s="499">
        <f t="shared" si="7"/>
        <v>875.8</v>
      </c>
    </row>
    <row r="194" spans="1:10" ht="20.25" customHeight="1">
      <c r="A194" s="471">
        <v>5111</v>
      </c>
      <c r="B194" s="472" t="s">
        <v>445</v>
      </c>
      <c r="C194" s="473">
        <v>995</v>
      </c>
      <c r="D194" s="471">
        <v>82407</v>
      </c>
      <c r="E194" s="472">
        <v>40207</v>
      </c>
      <c r="F194" s="477" t="s">
        <v>446</v>
      </c>
      <c r="G194" s="479">
        <v>21</v>
      </c>
      <c r="H194" s="477" t="s">
        <v>503</v>
      </c>
      <c r="I194" s="498" t="s">
        <v>504</v>
      </c>
      <c r="J194" s="499">
        <f t="shared" si="7"/>
        <v>875.8</v>
      </c>
    </row>
    <row r="195" spans="1:10" ht="20.25" customHeight="1">
      <c r="A195" s="471">
        <v>5111</v>
      </c>
      <c r="B195" s="472" t="s">
        <v>445</v>
      </c>
      <c r="C195" s="473">
        <v>996</v>
      </c>
      <c r="D195" s="471">
        <v>82407</v>
      </c>
      <c r="E195" s="472">
        <v>40207</v>
      </c>
      <c r="F195" s="477" t="s">
        <v>446</v>
      </c>
      <c r="G195" s="479">
        <v>21</v>
      </c>
      <c r="H195" s="477" t="s">
        <v>503</v>
      </c>
      <c r="I195" s="498" t="s">
        <v>504</v>
      </c>
      <c r="J195" s="499">
        <f t="shared" si="7"/>
        <v>875.8</v>
      </c>
    </row>
    <row r="196" spans="1:10" ht="20.25" customHeight="1">
      <c r="A196" s="471">
        <v>5111</v>
      </c>
      <c r="B196" s="472" t="s">
        <v>445</v>
      </c>
      <c r="C196" s="473">
        <v>997</v>
      </c>
      <c r="D196" s="471">
        <v>82407</v>
      </c>
      <c r="E196" s="472">
        <v>40207</v>
      </c>
      <c r="F196" s="477" t="s">
        <v>446</v>
      </c>
      <c r="G196" s="479">
        <v>21</v>
      </c>
      <c r="H196" s="477" t="s">
        <v>503</v>
      </c>
      <c r="I196" s="498" t="s">
        <v>504</v>
      </c>
      <c r="J196" s="499">
        <f t="shared" si="7"/>
        <v>875.8</v>
      </c>
    </row>
    <row r="197" spans="1:10" ht="20.25" customHeight="1">
      <c r="A197" s="471">
        <v>5111</v>
      </c>
      <c r="B197" s="472" t="s">
        <v>445</v>
      </c>
      <c r="C197" s="473">
        <v>998</v>
      </c>
      <c r="D197" s="471">
        <v>82407</v>
      </c>
      <c r="E197" s="472">
        <v>40207</v>
      </c>
      <c r="F197" s="477" t="s">
        <v>446</v>
      </c>
      <c r="G197" s="479">
        <v>22</v>
      </c>
      <c r="H197" s="477" t="s">
        <v>505</v>
      </c>
      <c r="I197" s="498" t="s">
        <v>506</v>
      </c>
      <c r="J197" s="499">
        <f t="shared" ref="J197:J247" si="8">(15045*1.16)/51</f>
        <v>342.19999999999993</v>
      </c>
    </row>
    <row r="198" spans="1:10" ht="20.25" customHeight="1">
      <c r="A198" s="471">
        <v>5111</v>
      </c>
      <c r="B198" s="472" t="s">
        <v>445</v>
      </c>
      <c r="C198" s="473">
        <v>999</v>
      </c>
      <c r="D198" s="471">
        <v>82407</v>
      </c>
      <c r="E198" s="472">
        <v>40207</v>
      </c>
      <c r="F198" s="477" t="s">
        <v>446</v>
      </c>
      <c r="G198" s="479">
        <v>22</v>
      </c>
      <c r="H198" s="477" t="s">
        <v>505</v>
      </c>
      <c r="I198" s="498" t="s">
        <v>506</v>
      </c>
      <c r="J198" s="499">
        <f t="shared" si="8"/>
        <v>342.19999999999993</v>
      </c>
    </row>
    <row r="199" spans="1:10" ht="20.25" customHeight="1">
      <c r="A199" s="471">
        <v>5111</v>
      </c>
      <c r="B199" s="472" t="s">
        <v>445</v>
      </c>
      <c r="C199" s="473">
        <v>1000</v>
      </c>
      <c r="D199" s="471">
        <v>82407</v>
      </c>
      <c r="E199" s="472">
        <v>40207</v>
      </c>
      <c r="F199" s="477" t="s">
        <v>446</v>
      </c>
      <c r="G199" s="479">
        <v>22</v>
      </c>
      <c r="H199" s="477" t="s">
        <v>505</v>
      </c>
      <c r="I199" s="498" t="s">
        <v>506</v>
      </c>
      <c r="J199" s="499">
        <f t="shared" si="8"/>
        <v>342.19999999999993</v>
      </c>
    </row>
    <row r="200" spans="1:10" ht="20.25" customHeight="1">
      <c r="A200" s="471">
        <v>5111</v>
      </c>
      <c r="B200" s="472" t="s">
        <v>445</v>
      </c>
      <c r="C200" s="473">
        <v>1001</v>
      </c>
      <c r="D200" s="471">
        <v>82407</v>
      </c>
      <c r="E200" s="472">
        <v>40207</v>
      </c>
      <c r="F200" s="477" t="s">
        <v>446</v>
      </c>
      <c r="G200" s="479">
        <v>22</v>
      </c>
      <c r="H200" s="477" t="s">
        <v>505</v>
      </c>
      <c r="I200" s="498" t="s">
        <v>507</v>
      </c>
      <c r="J200" s="499">
        <f t="shared" si="8"/>
        <v>342.19999999999993</v>
      </c>
    </row>
    <row r="201" spans="1:10" ht="20.25" customHeight="1">
      <c r="A201" s="471">
        <v>5111</v>
      </c>
      <c r="B201" s="472" t="s">
        <v>445</v>
      </c>
      <c r="C201" s="473">
        <v>1002</v>
      </c>
      <c r="D201" s="471">
        <v>82407</v>
      </c>
      <c r="E201" s="472">
        <v>40207</v>
      </c>
      <c r="F201" s="477" t="s">
        <v>446</v>
      </c>
      <c r="G201" s="479">
        <v>22</v>
      </c>
      <c r="H201" s="477" t="s">
        <v>505</v>
      </c>
      <c r="I201" s="498" t="s">
        <v>507</v>
      </c>
      <c r="J201" s="499">
        <f t="shared" si="8"/>
        <v>342.19999999999993</v>
      </c>
    </row>
    <row r="202" spans="1:10" ht="20.25" customHeight="1">
      <c r="A202" s="471">
        <v>5111</v>
      </c>
      <c r="B202" s="472" t="s">
        <v>445</v>
      </c>
      <c r="C202" s="473">
        <v>1003</v>
      </c>
      <c r="D202" s="471">
        <v>82407</v>
      </c>
      <c r="E202" s="472">
        <v>40207</v>
      </c>
      <c r="F202" s="477" t="s">
        <v>446</v>
      </c>
      <c r="G202" s="479">
        <v>22</v>
      </c>
      <c r="H202" s="477" t="s">
        <v>505</v>
      </c>
      <c r="I202" s="498" t="s">
        <v>507</v>
      </c>
      <c r="J202" s="499">
        <f t="shared" si="8"/>
        <v>342.19999999999993</v>
      </c>
    </row>
    <row r="203" spans="1:10" ht="20.25" customHeight="1">
      <c r="A203" s="471">
        <v>5111</v>
      </c>
      <c r="B203" s="472" t="s">
        <v>445</v>
      </c>
      <c r="C203" s="473">
        <v>1004</v>
      </c>
      <c r="D203" s="471">
        <v>82407</v>
      </c>
      <c r="E203" s="472">
        <v>40207</v>
      </c>
      <c r="F203" s="477" t="s">
        <v>446</v>
      </c>
      <c r="G203" s="479">
        <v>22</v>
      </c>
      <c r="H203" s="477" t="s">
        <v>505</v>
      </c>
      <c r="I203" s="498" t="s">
        <v>507</v>
      </c>
      <c r="J203" s="499">
        <f t="shared" si="8"/>
        <v>342.19999999999993</v>
      </c>
    </row>
    <row r="204" spans="1:10" ht="20.25" customHeight="1">
      <c r="A204" s="471">
        <v>5111</v>
      </c>
      <c r="B204" s="472" t="s">
        <v>445</v>
      </c>
      <c r="C204" s="473">
        <v>1005</v>
      </c>
      <c r="D204" s="471">
        <v>82407</v>
      </c>
      <c r="E204" s="472">
        <v>40207</v>
      </c>
      <c r="F204" s="477" t="s">
        <v>446</v>
      </c>
      <c r="G204" s="479">
        <v>22</v>
      </c>
      <c r="H204" s="477" t="s">
        <v>505</v>
      </c>
      <c r="I204" s="498" t="s">
        <v>507</v>
      </c>
      <c r="J204" s="499">
        <f t="shared" si="8"/>
        <v>342.19999999999993</v>
      </c>
    </row>
    <row r="205" spans="1:10" ht="20.25" customHeight="1">
      <c r="A205" s="471">
        <v>5111</v>
      </c>
      <c r="B205" s="472" t="s">
        <v>445</v>
      </c>
      <c r="C205" s="473">
        <v>1006</v>
      </c>
      <c r="D205" s="471">
        <v>82407</v>
      </c>
      <c r="E205" s="472">
        <v>40207</v>
      </c>
      <c r="F205" s="477" t="s">
        <v>446</v>
      </c>
      <c r="G205" s="479">
        <v>22</v>
      </c>
      <c r="H205" s="477" t="s">
        <v>505</v>
      </c>
      <c r="I205" s="498" t="s">
        <v>507</v>
      </c>
      <c r="J205" s="499">
        <f t="shared" si="8"/>
        <v>342.19999999999993</v>
      </c>
    </row>
    <row r="206" spans="1:10" ht="20.25" customHeight="1">
      <c r="A206" s="471">
        <v>5111</v>
      </c>
      <c r="B206" s="472" t="s">
        <v>445</v>
      </c>
      <c r="C206" s="473">
        <v>1007</v>
      </c>
      <c r="D206" s="471">
        <v>82407</v>
      </c>
      <c r="E206" s="472">
        <v>40207</v>
      </c>
      <c r="F206" s="477" t="s">
        <v>446</v>
      </c>
      <c r="G206" s="479">
        <v>22</v>
      </c>
      <c r="H206" s="477" t="s">
        <v>505</v>
      </c>
      <c r="I206" s="498" t="s">
        <v>507</v>
      </c>
      <c r="J206" s="499">
        <f t="shared" si="8"/>
        <v>342.19999999999993</v>
      </c>
    </row>
    <row r="207" spans="1:10" ht="20.25" customHeight="1">
      <c r="A207" s="471">
        <v>5111</v>
      </c>
      <c r="B207" s="472" t="s">
        <v>445</v>
      </c>
      <c r="C207" s="473">
        <v>1008</v>
      </c>
      <c r="D207" s="471">
        <v>82407</v>
      </c>
      <c r="E207" s="472">
        <v>40207</v>
      </c>
      <c r="F207" s="477" t="s">
        <v>446</v>
      </c>
      <c r="G207" s="479">
        <v>22</v>
      </c>
      <c r="H207" s="477" t="s">
        <v>505</v>
      </c>
      <c r="I207" s="498" t="s">
        <v>507</v>
      </c>
      <c r="J207" s="499">
        <f t="shared" si="8"/>
        <v>342.19999999999993</v>
      </c>
    </row>
    <row r="208" spans="1:10" ht="20.25" customHeight="1">
      <c r="A208" s="471">
        <v>5111</v>
      </c>
      <c r="B208" s="472" t="s">
        <v>445</v>
      </c>
      <c r="C208" s="473">
        <v>1009</v>
      </c>
      <c r="D208" s="471">
        <v>82407</v>
      </c>
      <c r="E208" s="472">
        <v>40207</v>
      </c>
      <c r="F208" s="477" t="s">
        <v>446</v>
      </c>
      <c r="G208" s="479">
        <v>22</v>
      </c>
      <c r="H208" s="477" t="s">
        <v>505</v>
      </c>
      <c r="I208" s="498" t="s">
        <v>507</v>
      </c>
      <c r="J208" s="499">
        <f t="shared" si="8"/>
        <v>342.19999999999993</v>
      </c>
    </row>
    <row r="209" spans="1:10" ht="20.25" customHeight="1">
      <c r="A209" s="471">
        <v>5111</v>
      </c>
      <c r="B209" s="472" t="s">
        <v>445</v>
      </c>
      <c r="C209" s="473">
        <v>1010</v>
      </c>
      <c r="D209" s="471">
        <v>82407</v>
      </c>
      <c r="E209" s="472">
        <v>40207</v>
      </c>
      <c r="F209" s="477" t="s">
        <v>446</v>
      </c>
      <c r="G209" s="479">
        <v>22</v>
      </c>
      <c r="H209" s="477" t="s">
        <v>505</v>
      </c>
      <c r="I209" s="498" t="s">
        <v>507</v>
      </c>
      <c r="J209" s="499">
        <f t="shared" si="8"/>
        <v>342.19999999999993</v>
      </c>
    </row>
    <row r="210" spans="1:10" ht="20.25" customHeight="1">
      <c r="A210" s="471">
        <v>5111</v>
      </c>
      <c r="B210" s="472" t="s">
        <v>445</v>
      </c>
      <c r="C210" s="473">
        <v>1011</v>
      </c>
      <c r="D210" s="471">
        <v>82407</v>
      </c>
      <c r="E210" s="472">
        <v>40207</v>
      </c>
      <c r="F210" s="477" t="s">
        <v>446</v>
      </c>
      <c r="G210" s="479">
        <v>22</v>
      </c>
      <c r="H210" s="477" t="s">
        <v>505</v>
      </c>
      <c r="I210" s="498" t="s">
        <v>507</v>
      </c>
      <c r="J210" s="499">
        <f t="shared" si="8"/>
        <v>342.19999999999993</v>
      </c>
    </row>
    <row r="211" spans="1:10" ht="20.25" customHeight="1">
      <c r="A211" s="471">
        <v>5111</v>
      </c>
      <c r="B211" s="472" t="s">
        <v>445</v>
      </c>
      <c r="C211" s="473">
        <v>1012</v>
      </c>
      <c r="D211" s="471">
        <v>82407</v>
      </c>
      <c r="E211" s="472">
        <v>40207</v>
      </c>
      <c r="F211" s="477" t="s">
        <v>446</v>
      </c>
      <c r="G211" s="479">
        <v>22</v>
      </c>
      <c r="H211" s="477" t="s">
        <v>505</v>
      </c>
      <c r="I211" s="498" t="s">
        <v>507</v>
      </c>
      <c r="J211" s="499">
        <f t="shared" si="8"/>
        <v>342.19999999999993</v>
      </c>
    </row>
    <row r="212" spans="1:10" ht="20.25" customHeight="1">
      <c r="A212" s="471">
        <v>5111</v>
      </c>
      <c r="B212" s="472" t="s">
        <v>445</v>
      </c>
      <c r="C212" s="473">
        <v>1013</v>
      </c>
      <c r="D212" s="471">
        <v>82407</v>
      </c>
      <c r="E212" s="472">
        <v>40207</v>
      </c>
      <c r="F212" s="477" t="s">
        <v>446</v>
      </c>
      <c r="G212" s="479">
        <v>22</v>
      </c>
      <c r="H212" s="477" t="s">
        <v>505</v>
      </c>
      <c r="I212" s="498" t="s">
        <v>507</v>
      </c>
      <c r="J212" s="499">
        <f t="shared" si="8"/>
        <v>342.19999999999993</v>
      </c>
    </row>
    <row r="213" spans="1:10" ht="20.25" customHeight="1">
      <c r="A213" s="471">
        <v>5111</v>
      </c>
      <c r="B213" s="472" t="s">
        <v>445</v>
      </c>
      <c r="C213" s="473">
        <v>1014</v>
      </c>
      <c r="D213" s="471">
        <v>82407</v>
      </c>
      <c r="E213" s="472">
        <v>40207</v>
      </c>
      <c r="F213" s="477" t="s">
        <v>446</v>
      </c>
      <c r="G213" s="479">
        <v>22</v>
      </c>
      <c r="H213" s="477" t="s">
        <v>505</v>
      </c>
      <c r="I213" s="498" t="s">
        <v>507</v>
      </c>
      <c r="J213" s="499">
        <f t="shared" si="8"/>
        <v>342.19999999999993</v>
      </c>
    </row>
    <row r="214" spans="1:10" ht="20.25" customHeight="1">
      <c r="A214" s="471">
        <v>5111</v>
      </c>
      <c r="B214" s="472" t="s">
        <v>445</v>
      </c>
      <c r="C214" s="473">
        <v>1015</v>
      </c>
      <c r="D214" s="471">
        <v>82407</v>
      </c>
      <c r="E214" s="472">
        <v>40207</v>
      </c>
      <c r="F214" s="477" t="s">
        <v>446</v>
      </c>
      <c r="G214" s="479">
        <v>22</v>
      </c>
      <c r="H214" s="477" t="s">
        <v>505</v>
      </c>
      <c r="I214" s="498" t="s">
        <v>507</v>
      </c>
      <c r="J214" s="499">
        <f t="shared" si="8"/>
        <v>342.19999999999993</v>
      </c>
    </row>
    <row r="215" spans="1:10" ht="20.25" customHeight="1">
      <c r="A215" s="471">
        <v>5111</v>
      </c>
      <c r="B215" s="472" t="s">
        <v>445</v>
      </c>
      <c r="C215" s="473">
        <v>1016</v>
      </c>
      <c r="D215" s="471">
        <v>82407</v>
      </c>
      <c r="E215" s="472">
        <v>40207</v>
      </c>
      <c r="F215" s="477" t="s">
        <v>446</v>
      </c>
      <c r="G215" s="479">
        <v>22</v>
      </c>
      <c r="H215" s="477" t="s">
        <v>505</v>
      </c>
      <c r="I215" s="498" t="s">
        <v>507</v>
      </c>
      <c r="J215" s="499">
        <f t="shared" si="8"/>
        <v>342.19999999999993</v>
      </c>
    </row>
    <row r="216" spans="1:10" ht="20.25" customHeight="1">
      <c r="A216" s="471">
        <v>5111</v>
      </c>
      <c r="B216" s="472" t="s">
        <v>445</v>
      </c>
      <c r="C216" s="473">
        <v>1017</v>
      </c>
      <c r="D216" s="471">
        <v>82407</v>
      </c>
      <c r="E216" s="472">
        <v>40207</v>
      </c>
      <c r="F216" s="477" t="s">
        <v>446</v>
      </c>
      <c r="G216" s="479">
        <v>22</v>
      </c>
      <c r="H216" s="477" t="s">
        <v>505</v>
      </c>
      <c r="I216" s="498" t="s">
        <v>507</v>
      </c>
      <c r="J216" s="499">
        <f t="shared" si="8"/>
        <v>342.19999999999993</v>
      </c>
    </row>
    <row r="217" spans="1:10" ht="20.25" customHeight="1">
      <c r="A217" s="471">
        <v>5111</v>
      </c>
      <c r="B217" s="472" t="s">
        <v>445</v>
      </c>
      <c r="C217" s="473">
        <v>1018</v>
      </c>
      <c r="D217" s="471">
        <v>82407</v>
      </c>
      <c r="E217" s="472">
        <v>40207</v>
      </c>
      <c r="F217" s="477" t="s">
        <v>446</v>
      </c>
      <c r="G217" s="479">
        <v>22</v>
      </c>
      <c r="H217" s="477" t="s">
        <v>505</v>
      </c>
      <c r="I217" s="498" t="s">
        <v>507</v>
      </c>
      <c r="J217" s="499">
        <f t="shared" si="8"/>
        <v>342.19999999999993</v>
      </c>
    </row>
    <row r="218" spans="1:10" ht="20.25" customHeight="1">
      <c r="A218" s="471">
        <v>5111</v>
      </c>
      <c r="B218" s="472" t="s">
        <v>445</v>
      </c>
      <c r="C218" s="473">
        <v>1019</v>
      </c>
      <c r="D218" s="471">
        <v>82407</v>
      </c>
      <c r="E218" s="472">
        <v>40207</v>
      </c>
      <c r="F218" s="477" t="s">
        <v>446</v>
      </c>
      <c r="G218" s="479">
        <v>22</v>
      </c>
      <c r="H218" s="477" t="s">
        <v>505</v>
      </c>
      <c r="I218" s="498" t="s">
        <v>507</v>
      </c>
      <c r="J218" s="499">
        <f t="shared" si="8"/>
        <v>342.19999999999993</v>
      </c>
    </row>
    <row r="219" spans="1:10" ht="20.25" customHeight="1">
      <c r="A219" s="471">
        <v>5111</v>
      </c>
      <c r="B219" s="472" t="s">
        <v>445</v>
      </c>
      <c r="C219" s="473">
        <v>1020</v>
      </c>
      <c r="D219" s="471">
        <v>82407</v>
      </c>
      <c r="E219" s="472">
        <v>40207</v>
      </c>
      <c r="F219" s="477" t="s">
        <v>446</v>
      </c>
      <c r="G219" s="479">
        <v>22</v>
      </c>
      <c r="H219" s="477" t="s">
        <v>505</v>
      </c>
      <c r="I219" s="498" t="s">
        <v>507</v>
      </c>
      <c r="J219" s="499">
        <f t="shared" si="8"/>
        <v>342.19999999999993</v>
      </c>
    </row>
    <row r="220" spans="1:10" ht="20.25" customHeight="1">
      <c r="A220" s="471">
        <v>5111</v>
      </c>
      <c r="B220" s="472" t="s">
        <v>445</v>
      </c>
      <c r="C220" s="473">
        <v>1021</v>
      </c>
      <c r="D220" s="471">
        <v>82407</v>
      </c>
      <c r="E220" s="472">
        <v>40207</v>
      </c>
      <c r="F220" s="477" t="s">
        <v>446</v>
      </c>
      <c r="G220" s="479">
        <v>22</v>
      </c>
      <c r="H220" s="477" t="s">
        <v>505</v>
      </c>
      <c r="I220" s="498" t="s">
        <v>507</v>
      </c>
      <c r="J220" s="499">
        <f t="shared" si="8"/>
        <v>342.19999999999993</v>
      </c>
    </row>
    <row r="221" spans="1:10" ht="20.25" customHeight="1">
      <c r="A221" s="471">
        <v>5111</v>
      </c>
      <c r="B221" s="472" t="s">
        <v>445</v>
      </c>
      <c r="C221" s="473">
        <v>1022</v>
      </c>
      <c r="D221" s="471">
        <v>82407</v>
      </c>
      <c r="E221" s="472">
        <v>40207</v>
      </c>
      <c r="F221" s="477" t="s">
        <v>446</v>
      </c>
      <c r="G221" s="479">
        <v>22</v>
      </c>
      <c r="H221" s="477" t="s">
        <v>505</v>
      </c>
      <c r="I221" s="498" t="s">
        <v>507</v>
      </c>
      <c r="J221" s="499">
        <f t="shared" si="8"/>
        <v>342.19999999999993</v>
      </c>
    </row>
    <row r="222" spans="1:10" ht="20.25" customHeight="1">
      <c r="A222" s="471">
        <v>5111</v>
      </c>
      <c r="B222" s="472" t="s">
        <v>445</v>
      </c>
      <c r="C222" s="473">
        <v>1023</v>
      </c>
      <c r="D222" s="471">
        <v>82407</v>
      </c>
      <c r="E222" s="472">
        <v>40207</v>
      </c>
      <c r="F222" s="477" t="s">
        <v>446</v>
      </c>
      <c r="G222" s="479">
        <v>22</v>
      </c>
      <c r="H222" s="477" t="s">
        <v>505</v>
      </c>
      <c r="I222" s="498" t="s">
        <v>507</v>
      </c>
      <c r="J222" s="499">
        <f t="shared" si="8"/>
        <v>342.19999999999993</v>
      </c>
    </row>
    <row r="223" spans="1:10" ht="20.25" customHeight="1">
      <c r="A223" s="471">
        <v>5111</v>
      </c>
      <c r="B223" s="472" t="s">
        <v>445</v>
      </c>
      <c r="C223" s="473">
        <v>1024</v>
      </c>
      <c r="D223" s="471">
        <v>82407</v>
      </c>
      <c r="E223" s="472">
        <v>40207</v>
      </c>
      <c r="F223" s="477" t="s">
        <v>446</v>
      </c>
      <c r="G223" s="479">
        <v>22</v>
      </c>
      <c r="H223" s="477" t="s">
        <v>505</v>
      </c>
      <c r="I223" s="498" t="s">
        <v>507</v>
      </c>
      <c r="J223" s="499">
        <f t="shared" si="8"/>
        <v>342.19999999999993</v>
      </c>
    </row>
    <row r="224" spans="1:10" ht="20.25" customHeight="1">
      <c r="A224" s="471">
        <v>5111</v>
      </c>
      <c r="B224" s="472" t="s">
        <v>445</v>
      </c>
      <c r="C224" s="473">
        <v>1025</v>
      </c>
      <c r="D224" s="471">
        <v>82407</v>
      </c>
      <c r="E224" s="472">
        <v>40207</v>
      </c>
      <c r="F224" s="477" t="s">
        <v>446</v>
      </c>
      <c r="G224" s="479">
        <v>22</v>
      </c>
      <c r="H224" s="477" t="s">
        <v>505</v>
      </c>
      <c r="I224" s="498" t="s">
        <v>507</v>
      </c>
      <c r="J224" s="499">
        <f t="shared" si="8"/>
        <v>342.19999999999993</v>
      </c>
    </row>
    <row r="225" spans="1:10" ht="20.25" customHeight="1">
      <c r="A225" s="471">
        <v>5111</v>
      </c>
      <c r="B225" s="472" t="s">
        <v>445</v>
      </c>
      <c r="C225" s="473">
        <v>1026</v>
      </c>
      <c r="D225" s="471">
        <v>82407</v>
      </c>
      <c r="E225" s="472">
        <v>40207</v>
      </c>
      <c r="F225" s="477" t="s">
        <v>446</v>
      </c>
      <c r="G225" s="479">
        <v>22</v>
      </c>
      <c r="H225" s="477" t="s">
        <v>505</v>
      </c>
      <c r="I225" s="498" t="s">
        <v>507</v>
      </c>
      <c r="J225" s="499">
        <f t="shared" si="8"/>
        <v>342.19999999999993</v>
      </c>
    </row>
    <row r="226" spans="1:10" ht="20.25" customHeight="1">
      <c r="A226" s="471">
        <v>5111</v>
      </c>
      <c r="B226" s="472" t="s">
        <v>445</v>
      </c>
      <c r="C226" s="473">
        <v>1027</v>
      </c>
      <c r="D226" s="471">
        <v>82407</v>
      </c>
      <c r="E226" s="472">
        <v>40207</v>
      </c>
      <c r="F226" s="477" t="s">
        <v>446</v>
      </c>
      <c r="G226" s="479">
        <v>22</v>
      </c>
      <c r="H226" s="477" t="s">
        <v>505</v>
      </c>
      <c r="I226" s="498" t="s">
        <v>507</v>
      </c>
      <c r="J226" s="499">
        <f t="shared" si="8"/>
        <v>342.19999999999993</v>
      </c>
    </row>
    <row r="227" spans="1:10" ht="20.25" customHeight="1">
      <c r="A227" s="471">
        <v>5111</v>
      </c>
      <c r="B227" s="472" t="s">
        <v>445</v>
      </c>
      <c r="C227" s="473">
        <v>1028</v>
      </c>
      <c r="D227" s="471">
        <v>82407</v>
      </c>
      <c r="E227" s="472">
        <v>40207</v>
      </c>
      <c r="F227" s="477" t="s">
        <v>446</v>
      </c>
      <c r="G227" s="479">
        <v>22</v>
      </c>
      <c r="H227" s="477" t="s">
        <v>505</v>
      </c>
      <c r="I227" s="498" t="s">
        <v>507</v>
      </c>
      <c r="J227" s="499">
        <f t="shared" si="8"/>
        <v>342.19999999999993</v>
      </c>
    </row>
    <row r="228" spans="1:10" ht="20.25" customHeight="1">
      <c r="A228" s="471">
        <v>5111</v>
      </c>
      <c r="B228" s="472" t="s">
        <v>445</v>
      </c>
      <c r="C228" s="473">
        <v>1029</v>
      </c>
      <c r="D228" s="471">
        <v>82407</v>
      </c>
      <c r="E228" s="472">
        <v>40207</v>
      </c>
      <c r="F228" s="477" t="s">
        <v>446</v>
      </c>
      <c r="G228" s="479">
        <v>22</v>
      </c>
      <c r="H228" s="477" t="s">
        <v>505</v>
      </c>
      <c r="I228" s="498" t="s">
        <v>507</v>
      </c>
      <c r="J228" s="499">
        <f t="shared" si="8"/>
        <v>342.19999999999993</v>
      </c>
    </row>
    <row r="229" spans="1:10" ht="20.25" customHeight="1">
      <c r="A229" s="471">
        <v>5111</v>
      </c>
      <c r="B229" s="472" t="s">
        <v>445</v>
      </c>
      <c r="C229" s="473">
        <v>1030</v>
      </c>
      <c r="D229" s="471">
        <v>82407</v>
      </c>
      <c r="E229" s="472">
        <v>40207</v>
      </c>
      <c r="F229" s="477" t="s">
        <v>446</v>
      </c>
      <c r="G229" s="479">
        <v>22</v>
      </c>
      <c r="H229" s="477" t="s">
        <v>505</v>
      </c>
      <c r="I229" s="498" t="s">
        <v>507</v>
      </c>
      <c r="J229" s="499">
        <f t="shared" si="8"/>
        <v>342.19999999999993</v>
      </c>
    </row>
    <row r="230" spans="1:10" ht="20.25" customHeight="1">
      <c r="A230" s="471">
        <v>5111</v>
      </c>
      <c r="B230" s="472" t="s">
        <v>445</v>
      </c>
      <c r="C230" s="473">
        <v>1031</v>
      </c>
      <c r="D230" s="471">
        <v>82407</v>
      </c>
      <c r="E230" s="472">
        <v>40207</v>
      </c>
      <c r="F230" s="477" t="s">
        <v>446</v>
      </c>
      <c r="G230" s="479">
        <v>22</v>
      </c>
      <c r="H230" s="477" t="s">
        <v>505</v>
      </c>
      <c r="I230" s="498" t="s">
        <v>507</v>
      </c>
      <c r="J230" s="499">
        <f t="shared" si="8"/>
        <v>342.19999999999993</v>
      </c>
    </row>
    <row r="231" spans="1:10" ht="20.25" customHeight="1">
      <c r="A231" s="471">
        <v>5111</v>
      </c>
      <c r="B231" s="472" t="s">
        <v>445</v>
      </c>
      <c r="C231" s="473">
        <v>1032</v>
      </c>
      <c r="D231" s="471">
        <v>82407</v>
      </c>
      <c r="E231" s="472">
        <v>40207</v>
      </c>
      <c r="F231" s="477" t="s">
        <v>446</v>
      </c>
      <c r="G231" s="479">
        <v>22</v>
      </c>
      <c r="H231" s="477" t="s">
        <v>505</v>
      </c>
      <c r="I231" s="498" t="s">
        <v>507</v>
      </c>
      <c r="J231" s="499">
        <f t="shared" si="8"/>
        <v>342.19999999999993</v>
      </c>
    </row>
    <row r="232" spans="1:10" ht="20.25" customHeight="1">
      <c r="A232" s="471">
        <v>5111</v>
      </c>
      <c r="B232" s="472" t="s">
        <v>445</v>
      </c>
      <c r="C232" s="473">
        <v>1033</v>
      </c>
      <c r="D232" s="471">
        <v>82407</v>
      </c>
      <c r="E232" s="472">
        <v>40207</v>
      </c>
      <c r="F232" s="477" t="s">
        <v>446</v>
      </c>
      <c r="G232" s="479">
        <v>22</v>
      </c>
      <c r="H232" s="477" t="s">
        <v>505</v>
      </c>
      <c r="I232" s="498" t="s">
        <v>507</v>
      </c>
      <c r="J232" s="499">
        <f t="shared" si="8"/>
        <v>342.19999999999993</v>
      </c>
    </row>
    <row r="233" spans="1:10" ht="20.25" customHeight="1">
      <c r="A233" s="471">
        <v>5111</v>
      </c>
      <c r="B233" s="472" t="s">
        <v>445</v>
      </c>
      <c r="C233" s="473">
        <v>1034</v>
      </c>
      <c r="D233" s="471">
        <v>82407</v>
      </c>
      <c r="E233" s="472">
        <v>40207</v>
      </c>
      <c r="F233" s="477" t="s">
        <v>446</v>
      </c>
      <c r="G233" s="479">
        <v>22</v>
      </c>
      <c r="H233" s="477" t="s">
        <v>505</v>
      </c>
      <c r="I233" s="498" t="s">
        <v>507</v>
      </c>
      <c r="J233" s="499">
        <f t="shared" si="8"/>
        <v>342.19999999999993</v>
      </c>
    </row>
    <row r="234" spans="1:10" ht="20.25" customHeight="1">
      <c r="A234" s="471">
        <v>5111</v>
      </c>
      <c r="B234" s="472" t="s">
        <v>445</v>
      </c>
      <c r="C234" s="473">
        <v>1035</v>
      </c>
      <c r="D234" s="471">
        <v>82407</v>
      </c>
      <c r="E234" s="472">
        <v>40207</v>
      </c>
      <c r="F234" s="477" t="s">
        <v>446</v>
      </c>
      <c r="G234" s="479">
        <v>22</v>
      </c>
      <c r="H234" s="477" t="s">
        <v>505</v>
      </c>
      <c r="I234" s="498" t="s">
        <v>507</v>
      </c>
      <c r="J234" s="499">
        <f t="shared" si="8"/>
        <v>342.19999999999993</v>
      </c>
    </row>
    <row r="235" spans="1:10" ht="20.25" customHeight="1">
      <c r="A235" s="471">
        <v>5111</v>
      </c>
      <c r="B235" s="472" t="s">
        <v>445</v>
      </c>
      <c r="C235" s="473">
        <v>1036</v>
      </c>
      <c r="D235" s="471">
        <v>82407</v>
      </c>
      <c r="E235" s="472">
        <v>40207</v>
      </c>
      <c r="F235" s="477" t="s">
        <v>446</v>
      </c>
      <c r="G235" s="479">
        <v>22</v>
      </c>
      <c r="H235" s="477" t="s">
        <v>505</v>
      </c>
      <c r="I235" s="498" t="s">
        <v>507</v>
      </c>
      <c r="J235" s="499">
        <f t="shared" si="8"/>
        <v>342.19999999999993</v>
      </c>
    </row>
    <row r="236" spans="1:10" ht="20.25" customHeight="1">
      <c r="A236" s="471">
        <v>5111</v>
      </c>
      <c r="B236" s="472" t="s">
        <v>445</v>
      </c>
      <c r="C236" s="473">
        <v>1037</v>
      </c>
      <c r="D236" s="471">
        <v>82407</v>
      </c>
      <c r="E236" s="472">
        <v>40207</v>
      </c>
      <c r="F236" s="477" t="s">
        <v>446</v>
      </c>
      <c r="G236" s="479">
        <v>22</v>
      </c>
      <c r="H236" s="477" t="s">
        <v>505</v>
      </c>
      <c r="I236" s="498" t="s">
        <v>507</v>
      </c>
      <c r="J236" s="499">
        <f t="shared" si="8"/>
        <v>342.19999999999993</v>
      </c>
    </row>
    <row r="237" spans="1:10" ht="20.25" customHeight="1">
      <c r="A237" s="471">
        <v>5111</v>
      </c>
      <c r="B237" s="472" t="s">
        <v>445</v>
      </c>
      <c r="C237" s="473">
        <v>1038</v>
      </c>
      <c r="D237" s="471">
        <v>82407</v>
      </c>
      <c r="E237" s="472">
        <v>40207</v>
      </c>
      <c r="F237" s="477" t="s">
        <v>446</v>
      </c>
      <c r="G237" s="479">
        <v>22</v>
      </c>
      <c r="H237" s="477" t="s">
        <v>505</v>
      </c>
      <c r="I237" s="498" t="s">
        <v>507</v>
      </c>
      <c r="J237" s="499">
        <f t="shared" si="8"/>
        <v>342.19999999999993</v>
      </c>
    </row>
    <row r="238" spans="1:10" ht="20.25" customHeight="1">
      <c r="A238" s="471">
        <v>5111</v>
      </c>
      <c r="B238" s="472" t="s">
        <v>445</v>
      </c>
      <c r="C238" s="473">
        <v>1039</v>
      </c>
      <c r="D238" s="471">
        <v>82407</v>
      </c>
      <c r="E238" s="472">
        <v>40207</v>
      </c>
      <c r="F238" s="477" t="s">
        <v>446</v>
      </c>
      <c r="G238" s="479">
        <v>22</v>
      </c>
      <c r="H238" s="477" t="s">
        <v>505</v>
      </c>
      <c r="I238" s="498" t="s">
        <v>507</v>
      </c>
      <c r="J238" s="499">
        <f t="shared" si="8"/>
        <v>342.19999999999993</v>
      </c>
    </row>
    <row r="239" spans="1:10" ht="20.25" customHeight="1">
      <c r="A239" s="471">
        <v>5111</v>
      </c>
      <c r="B239" s="472" t="s">
        <v>445</v>
      </c>
      <c r="C239" s="473">
        <v>1040</v>
      </c>
      <c r="D239" s="471">
        <v>82407</v>
      </c>
      <c r="E239" s="472">
        <v>40207</v>
      </c>
      <c r="F239" s="477" t="s">
        <v>446</v>
      </c>
      <c r="G239" s="479">
        <v>22</v>
      </c>
      <c r="H239" s="477" t="s">
        <v>505</v>
      </c>
      <c r="I239" s="498" t="s">
        <v>507</v>
      </c>
      <c r="J239" s="499">
        <f t="shared" si="8"/>
        <v>342.19999999999993</v>
      </c>
    </row>
    <row r="240" spans="1:10" ht="20.25" customHeight="1">
      <c r="A240" s="471">
        <v>5111</v>
      </c>
      <c r="B240" s="472" t="s">
        <v>445</v>
      </c>
      <c r="C240" s="473">
        <v>1041</v>
      </c>
      <c r="D240" s="471">
        <v>82407</v>
      </c>
      <c r="E240" s="472">
        <v>40207</v>
      </c>
      <c r="F240" s="477" t="s">
        <v>446</v>
      </c>
      <c r="G240" s="479">
        <v>22</v>
      </c>
      <c r="H240" s="477" t="s">
        <v>505</v>
      </c>
      <c r="I240" s="498" t="s">
        <v>507</v>
      </c>
      <c r="J240" s="499">
        <f t="shared" si="8"/>
        <v>342.19999999999993</v>
      </c>
    </row>
    <row r="241" spans="1:10" ht="20.25" customHeight="1">
      <c r="A241" s="471">
        <v>5111</v>
      </c>
      <c r="B241" s="472" t="s">
        <v>445</v>
      </c>
      <c r="C241" s="473">
        <v>1042</v>
      </c>
      <c r="D241" s="471">
        <v>82407</v>
      </c>
      <c r="E241" s="472">
        <v>40207</v>
      </c>
      <c r="F241" s="477" t="s">
        <v>446</v>
      </c>
      <c r="G241" s="479">
        <v>22</v>
      </c>
      <c r="H241" s="477" t="s">
        <v>505</v>
      </c>
      <c r="I241" s="498" t="s">
        <v>507</v>
      </c>
      <c r="J241" s="499">
        <f t="shared" si="8"/>
        <v>342.19999999999993</v>
      </c>
    </row>
    <row r="242" spans="1:10" ht="20.25" customHeight="1">
      <c r="A242" s="471">
        <v>5111</v>
      </c>
      <c r="B242" s="472" t="s">
        <v>445</v>
      </c>
      <c r="C242" s="473">
        <v>1043</v>
      </c>
      <c r="D242" s="471">
        <v>82407</v>
      </c>
      <c r="E242" s="472">
        <v>40207</v>
      </c>
      <c r="F242" s="477" t="s">
        <v>446</v>
      </c>
      <c r="G242" s="479">
        <v>22</v>
      </c>
      <c r="H242" s="477" t="s">
        <v>505</v>
      </c>
      <c r="I242" s="498" t="s">
        <v>507</v>
      </c>
      <c r="J242" s="499">
        <f t="shared" si="8"/>
        <v>342.19999999999993</v>
      </c>
    </row>
    <row r="243" spans="1:10" ht="20.25" customHeight="1">
      <c r="A243" s="471">
        <v>5111</v>
      </c>
      <c r="B243" s="472" t="s">
        <v>445</v>
      </c>
      <c r="C243" s="473">
        <v>1044</v>
      </c>
      <c r="D243" s="471">
        <v>82407</v>
      </c>
      <c r="E243" s="472">
        <v>40207</v>
      </c>
      <c r="F243" s="477" t="s">
        <v>446</v>
      </c>
      <c r="G243" s="479">
        <v>22</v>
      </c>
      <c r="H243" s="477" t="s">
        <v>505</v>
      </c>
      <c r="I243" s="498" t="s">
        <v>507</v>
      </c>
      <c r="J243" s="499">
        <f t="shared" si="8"/>
        <v>342.19999999999993</v>
      </c>
    </row>
    <row r="244" spans="1:10" ht="20.25" customHeight="1">
      <c r="A244" s="471">
        <v>5111</v>
      </c>
      <c r="B244" s="472" t="s">
        <v>445</v>
      </c>
      <c r="C244" s="473">
        <v>1045</v>
      </c>
      <c r="D244" s="471">
        <v>82407</v>
      </c>
      <c r="E244" s="472">
        <v>40207</v>
      </c>
      <c r="F244" s="477" t="s">
        <v>446</v>
      </c>
      <c r="G244" s="479">
        <v>22</v>
      </c>
      <c r="H244" s="477" t="s">
        <v>505</v>
      </c>
      <c r="I244" s="498" t="s">
        <v>507</v>
      </c>
      <c r="J244" s="499">
        <f t="shared" si="8"/>
        <v>342.19999999999993</v>
      </c>
    </row>
    <row r="245" spans="1:10" ht="20.25" customHeight="1">
      <c r="A245" s="471">
        <v>5111</v>
      </c>
      <c r="B245" s="472" t="s">
        <v>445</v>
      </c>
      <c r="C245" s="473">
        <v>1046</v>
      </c>
      <c r="D245" s="471">
        <v>82407</v>
      </c>
      <c r="E245" s="472">
        <v>40207</v>
      </c>
      <c r="F245" s="477" t="s">
        <v>446</v>
      </c>
      <c r="G245" s="479">
        <v>22</v>
      </c>
      <c r="H245" s="477" t="s">
        <v>505</v>
      </c>
      <c r="I245" s="498" t="s">
        <v>507</v>
      </c>
      <c r="J245" s="499">
        <f t="shared" si="8"/>
        <v>342.19999999999993</v>
      </c>
    </row>
    <row r="246" spans="1:10" ht="20.25" customHeight="1">
      <c r="A246" s="471">
        <v>5111</v>
      </c>
      <c r="B246" s="472" t="s">
        <v>445</v>
      </c>
      <c r="C246" s="473">
        <v>1047</v>
      </c>
      <c r="D246" s="471">
        <v>82407</v>
      </c>
      <c r="E246" s="472">
        <v>40207</v>
      </c>
      <c r="F246" s="477" t="s">
        <v>446</v>
      </c>
      <c r="G246" s="479">
        <v>22</v>
      </c>
      <c r="H246" s="477" t="s">
        <v>505</v>
      </c>
      <c r="I246" s="498" t="s">
        <v>507</v>
      </c>
      <c r="J246" s="499">
        <f t="shared" si="8"/>
        <v>342.19999999999993</v>
      </c>
    </row>
    <row r="247" spans="1:10" ht="20.25" customHeight="1">
      <c r="A247" s="471">
        <v>5111</v>
      </c>
      <c r="B247" s="472" t="s">
        <v>445</v>
      </c>
      <c r="C247" s="473">
        <v>1048</v>
      </c>
      <c r="D247" s="471">
        <v>82407</v>
      </c>
      <c r="E247" s="472">
        <v>40207</v>
      </c>
      <c r="F247" s="477" t="s">
        <v>446</v>
      </c>
      <c r="G247" s="479">
        <v>22</v>
      </c>
      <c r="H247" s="477" t="s">
        <v>505</v>
      </c>
      <c r="I247" s="498" t="s">
        <v>507</v>
      </c>
      <c r="J247" s="499">
        <f t="shared" si="8"/>
        <v>342.19999999999993</v>
      </c>
    </row>
    <row r="248" spans="1:10" ht="20.25" customHeight="1">
      <c r="A248" s="471">
        <v>5111</v>
      </c>
      <c r="B248" s="472" t="s">
        <v>445</v>
      </c>
      <c r="C248" s="473">
        <v>1049</v>
      </c>
      <c r="D248" s="471">
        <v>82407</v>
      </c>
      <c r="E248" s="472">
        <v>40207</v>
      </c>
      <c r="F248" s="477" t="s">
        <v>446</v>
      </c>
      <c r="G248" s="479">
        <v>23</v>
      </c>
      <c r="H248" s="477" t="s">
        <v>508</v>
      </c>
      <c r="I248" s="498" t="s">
        <v>509</v>
      </c>
      <c r="J248" s="499">
        <f>(5670*1.16)/3</f>
        <v>2192.4</v>
      </c>
    </row>
    <row r="249" spans="1:10" ht="20.25" customHeight="1">
      <c r="A249" s="471">
        <v>5111</v>
      </c>
      <c r="B249" s="472" t="s">
        <v>445</v>
      </c>
      <c r="C249" s="473">
        <v>1050</v>
      </c>
      <c r="D249" s="471">
        <v>82407</v>
      </c>
      <c r="E249" s="472">
        <v>40207</v>
      </c>
      <c r="F249" s="477" t="s">
        <v>446</v>
      </c>
      <c r="G249" s="479">
        <v>23</v>
      </c>
      <c r="H249" s="477" t="s">
        <v>508</v>
      </c>
      <c r="I249" s="498" t="s">
        <v>509</v>
      </c>
      <c r="J249" s="499">
        <f>(5670*1.16)/3</f>
        <v>2192.4</v>
      </c>
    </row>
    <row r="250" spans="1:10" ht="20.25" customHeight="1">
      <c r="A250" s="471">
        <v>5111</v>
      </c>
      <c r="B250" s="472" t="s">
        <v>445</v>
      </c>
      <c r="C250" s="473">
        <v>1051</v>
      </c>
      <c r="D250" s="471">
        <v>82407</v>
      </c>
      <c r="E250" s="472">
        <v>40207</v>
      </c>
      <c r="F250" s="477" t="s">
        <v>446</v>
      </c>
      <c r="G250" s="479">
        <v>23</v>
      </c>
      <c r="H250" s="477" t="s">
        <v>508</v>
      </c>
      <c r="I250" s="498" t="s">
        <v>509</v>
      </c>
      <c r="J250" s="499">
        <f>(5670*1.16)/3</f>
        <v>2192.4</v>
      </c>
    </row>
    <row r="251" spans="1:10" ht="20.25" customHeight="1">
      <c r="A251" s="471">
        <v>5111</v>
      </c>
      <c r="B251" s="472" t="s">
        <v>445</v>
      </c>
      <c r="C251" s="473">
        <v>1052</v>
      </c>
      <c r="D251" s="471">
        <v>82407</v>
      </c>
      <c r="E251" s="472">
        <v>40207</v>
      </c>
      <c r="F251" s="477" t="s">
        <v>446</v>
      </c>
      <c r="G251" s="479">
        <v>24</v>
      </c>
      <c r="H251" s="477" t="s">
        <v>510</v>
      </c>
      <c r="I251" s="498" t="s">
        <v>511</v>
      </c>
      <c r="J251" s="499">
        <f>(12850*1.16)/5</f>
        <v>2981.2</v>
      </c>
    </row>
    <row r="252" spans="1:10" ht="20.25" customHeight="1">
      <c r="A252" s="471">
        <v>5111</v>
      </c>
      <c r="B252" s="472" t="s">
        <v>445</v>
      </c>
      <c r="C252" s="473">
        <v>1053</v>
      </c>
      <c r="D252" s="471">
        <v>82407</v>
      </c>
      <c r="E252" s="472">
        <v>40207</v>
      </c>
      <c r="F252" s="477" t="s">
        <v>446</v>
      </c>
      <c r="G252" s="479">
        <v>24</v>
      </c>
      <c r="H252" s="477" t="s">
        <v>510</v>
      </c>
      <c r="I252" s="498" t="s">
        <v>511</v>
      </c>
      <c r="J252" s="499">
        <f>(12850*1.16)/5</f>
        <v>2981.2</v>
      </c>
    </row>
    <row r="253" spans="1:10" ht="20.25" customHeight="1">
      <c r="A253" s="471">
        <v>5111</v>
      </c>
      <c r="B253" s="472" t="s">
        <v>445</v>
      </c>
      <c r="C253" s="473">
        <v>1054</v>
      </c>
      <c r="D253" s="471">
        <v>82407</v>
      </c>
      <c r="E253" s="472">
        <v>40207</v>
      </c>
      <c r="F253" s="477" t="s">
        <v>446</v>
      </c>
      <c r="G253" s="479">
        <v>24</v>
      </c>
      <c r="H253" s="477" t="s">
        <v>510</v>
      </c>
      <c r="I253" s="498" t="s">
        <v>511</v>
      </c>
      <c r="J253" s="499">
        <f>(12850*1.16)/5</f>
        <v>2981.2</v>
      </c>
    </row>
    <row r="254" spans="1:10" ht="20.25" customHeight="1">
      <c r="A254" s="471">
        <v>5111</v>
      </c>
      <c r="B254" s="472" t="s">
        <v>445</v>
      </c>
      <c r="C254" s="473">
        <v>1055</v>
      </c>
      <c r="D254" s="471">
        <v>82407</v>
      </c>
      <c r="E254" s="472">
        <v>40207</v>
      </c>
      <c r="F254" s="477" t="s">
        <v>446</v>
      </c>
      <c r="G254" s="479">
        <v>24</v>
      </c>
      <c r="H254" s="477" t="s">
        <v>510</v>
      </c>
      <c r="I254" s="498" t="s">
        <v>511</v>
      </c>
      <c r="J254" s="499">
        <f>(12850*1.16)/5</f>
        <v>2981.2</v>
      </c>
    </row>
    <row r="255" spans="1:10" ht="20.25" customHeight="1">
      <c r="A255" s="471">
        <v>5111</v>
      </c>
      <c r="B255" s="472" t="s">
        <v>445</v>
      </c>
      <c r="C255" s="473">
        <v>1056</v>
      </c>
      <c r="D255" s="471">
        <v>82407</v>
      </c>
      <c r="E255" s="472">
        <v>40207</v>
      </c>
      <c r="F255" s="477" t="s">
        <v>446</v>
      </c>
      <c r="G255" s="479">
        <v>24</v>
      </c>
      <c r="H255" s="477" t="s">
        <v>510</v>
      </c>
      <c r="I255" s="498" t="s">
        <v>511</v>
      </c>
      <c r="J255" s="499">
        <f>(12850*1.16)/5</f>
        <v>2981.2</v>
      </c>
    </row>
    <row r="256" spans="1:10" ht="20.25" customHeight="1">
      <c r="A256" s="471">
        <v>5111</v>
      </c>
      <c r="B256" s="472" t="s">
        <v>445</v>
      </c>
      <c r="C256" s="473">
        <v>1057</v>
      </c>
      <c r="D256" s="471">
        <v>2496</v>
      </c>
      <c r="E256" s="472">
        <v>40246</v>
      </c>
      <c r="F256" s="477" t="s">
        <v>446</v>
      </c>
      <c r="G256" s="479">
        <v>25</v>
      </c>
      <c r="H256" s="477" t="s">
        <v>512</v>
      </c>
      <c r="I256" s="498" t="s">
        <v>513</v>
      </c>
      <c r="J256" s="499">
        <f>720*1.16</f>
        <v>835.19999999999993</v>
      </c>
    </row>
    <row r="257" spans="1:10" ht="20.25" customHeight="1">
      <c r="A257" s="471">
        <v>5111</v>
      </c>
      <c r="B257" s="472" t="s">
        <v>445</v>
      </c>
      <c r="C257" s="473">
        <v>1058</v>
      </c>
      <c r="D257" s="471">
        <v>2496</v>
      </c>
      <c r="E257" s="472">
        <v>40246</v>
      </c>
      <c r="F257" s="477" t="s">
        <v>446</v>
      </c>
      <c r="G257" s="479">
        <v>25</v>
      </c>
      <c r="H257" s="477" t="s">
        <v>512</v>
      </c>
      <c r="I257" s="498" t="s">
        <v>513</v>
      </c>
      <c r="J257" s="499">
        <f>720*1.16</f>
        <v>835.19999999999993</v>
      </c>
    </row>
    <row r="258" spans="1:10" ht="20.25" customHeight="1">
      <c r="A258" s="471">
        <v>5111</v>
      </c>
      <c r="B258" s="472" t="s">
        <v>445</v>
      </c>
      <c r="C258" s="473">
        <v>1059</v>
      </c>
      <c r="D258" s="471">
        <v>2496</v>
      </c>
      <c r="E258" s="472">
        <v>40246</v>
      </c>
      <c r="F258" s="477" t="s">
        <v>446</v>
      </c>
      <c r="G258" s="479">
        <v>25</v>
      </c>
      <c r="H258" s="477" t="s">
        <v>512</v>
      </c>
      <c r="I258" s="498" t="s">
        <v>513</v>
      </c>
      <c r="J258" s="499">
        <f>720*1.16</f>
        <v>835.19999999999993</v>
      </c>
    </row>
    <row r="259" spans="1:10" ht="20.25" customHeight="1">
      <c r="A259" s="471">
        <v>5111</v>
      </c>
      <c r="B259" s="472" t="s">
        <v>445</v>
      </c>
      <c r="C259" s="473">
        <v>1060</v>
      </c>
      <c r="D259" s="471">
        <v>2496</v>
      </c>
      <c r="E259" s="472">
        <v>40246</v>
      </c>
      <c r="F259" s="477" t="s">
        <v>446</v>
      </c>
      <c r="G259" s="479">
        <v>25</v>
      </c>
      <c r="H259" s="477" t="s">
        <v>512</v>
      </c>
      <c r="I259" s="498" t="s">
        <v>513</v>
      </c>
      <c r="J259" s="499">
        <f>720*1.16</f>
        <v>835.19999999999993</v>
      </c>
    </row>
    <row r="260" spans="1:10" ht="20.25" customHeight="1">
      <c r="A260" s="471">
        <v>5111</v>
      </c>
      <c r="B260" s="472" t="s">
        <v>445</v>
      </c>
      <c r="C260" s="473">
        <v>1061</v>
      </c>
      <c r="D260" s="471">
        <v>2496</v>
      </c>
      <c r="E260" s="472">
        <v>40246</v>
      </c>
      <c r="F260" s="477" t="s">
        <v>446</v>
      </c>
      <c r="G260" s="479">
        <v>26</v>
      </c>
      <c r="H260" s="477" t="s">
        <v>514</v>
      </c>
      <c r="I260" s="498" t="s">
        <v>515</v>
      </c>
      <c r="J260" s="499">
        <f t="shared" ref="J260:J267" si="9">3799*1.16</f>
        <v>4406.84</v>
      </c>
    </row>
    <row r="261" spans="1:10" ht="20.25" customHeight="1">
      <c r="A261" s="471">
        <v>5111</v>
      </c>
      <c r="B261" s="472" t="s">
        <v>445</v>
      </c>
      <c r="C261" s="473">
        <v>1062</v>
      </c>
      <c r="D261" s="471">
        <v>2496</v>
      </c>
      <c r="E261" s="472">
        <v>40246</v>
      </c>
      <c r="F261" s="477" t="s">
        <v>446</v>
      </c>
      <c r="G261" s="479">
        <v>26</v>
      </c>
      <c r="H261" s="477" t="s">
        <v>514</v>
      </c>
      <c r="I261" s="498" t="s">
        <v>515</v>
      </c>
      <c r="J261" s="499">
        <f t="shared" si="9"/>
        <v>4406.84</v>
      </c>
    </row>
    <row r="262" spans="1:10" ht="20.25" customHeight="1">
      <c r="A262" s="471">
        <v>5111</v>
      </c>
      <c r="B262" s="472" t="s">
        <v>445</v>
      </c>
      <c r="C262" s="473">
        <v>1063</v>
      </c>
      <c r="D262" s="471">
        <v>2496</v>
      </c>
      <c r="E262" s="472">
        <v>40246</v>
      </c>
      <c r="F262" s="477" t="s">
        <v>446</v>
      </c>
      <c r="G262" s="479">
        <v>26</v>
      </c>
      <c r="H262" s="477" t="s">
        <v>514</v>
      </c>
      <c r="I262" s="498" t="s">
        <v>515</v>
      </c>
      <c r="J262" s="499">
        <f t="shared" si="9"/>
        <v>4406.84</v>
      </c>
    </row>
    <row r="263" spans="1:10" ht="20.25" customHeight="1">
      <c r="A263" s="471">
        <v>5111</v>
      </c>
      <c r="B263" s="472" t="s">
        <v>445</v>
      </c>
      <c r="C263" s="473">
        <v>1064</v>
      </c>
      <c r="D263" s="471">
        <v>2496</v>
      </c>
      <c r="E263" s="472">
        <v>40246</v>
      </c>
      <c r="F263" s="477" t="s">
        <v>446</v>
      </c>
      <c r="G263" s="479">
        <v>26</v>
      </c>
      <c r="H263" s="477" t="s">
        <v>514</v>
      </c>
      <c r="I263" s="498" t="s">
        <v>515</v>
      </c>
      <c r="J263" s="499">
        <f t="shared" si="9"/>
        <v>4406.84</v>
      </c>
    </row>
    <row r="264" spans="1:10" ht="20.25" customHeight="1">
      <c r="A264" s="471">
        <v>5111</v>
      </c>
      <c r="B264" s="472" t="s">
        <v>445</v>
      </c>
      <c r="C264" s="473">
        <v>1065</v>
      </c>
      <c r="D264" s="471">
        <v>2496</v>
      </c>
      <c r="E264" s="472">
        <v>40246</v>
      </c>
      <c r="F264" s="477" t="s">
        <v>446</v>
      </c>
      <c r="G264" s="479">
        <v>26</v>
      </c>
      <c r="H264" s="477" t="s">
        <v>514</v>
      </c>
      <c r="I264" s="498" t="s">
        <v>515</v>
      </c>
      <c r="J264" s="499">
        <f t="shared" si="9"/>
        <v>4406.84</v>
      </c>
    </row>
    <row r="265" spans="1:10" ht="20.25" customHeight="1">
      <c r="A265" s="471">
        <v>5111</v>
      </c>
      <c r="B265" s="472" t="s">
        <v>445</v>
      </c>
      <c r="C265" s="473">
        <v>1066</v>
      </c>
      <c r="D265" s="471">
        <v>2496</v>
      </c>
      <c r="E265" s="472">
        <v>40246</v>
      </c>
      <c r="F265" s="477" t="s">
        <v>446</v>
      </c>
      <c r="G265" s="479">
        <v>26</v>
      </c>
      <c r="H265" s="477" t="s">
        <v>514</v>
      </c>
      <c r="I265" s="498" t="s">
        <v>515</v>
      </c>
      <c r="J265" s="499">
        <f t="shared" si="9"/>
        <v>4406.84</v>
      </c>
    </row>
    <row r="266" spans="1:10" ht="20.25" customHeight="1">
      <c r="A266" s="471">
        <v>5111</v>
      </c>
      <c r="B266" s="472" t="s">
        <v>445</v>
      </c>
      <c r="C266" s="473">
        <v>1067</v>
      </c>
      <c r="D266" s="471">
        <v>2496</v>
      </c>
      <c r="E266" s="472">
        <v>40246</v>
      </c>
      <c r="F266" s="477" t="s">
        <v>446</v>
      </c>
      <c r="G266" s="479">
        <v>26</v>
      </c>
      <c r="H266" s="477" t="s">
        <v>514</v>
      </c>
      <c r="I266" s="498" t="s">
        <v>515</v>
      </c>
      <c r="J266" s="499">
        <f t="shared" si="9"/>
        <v>4406.84</v>
      </c>
    </row>
    <row r="267" spans="1:10" ht="20.25" customHeight="1">
      <c r="A267" s="471">
        <v>5111</v>
      </c>
      <c r="B267" s="472" t="s">
        <v>445</v>
      </c>
      <c r="C267" s="473">
        <v>1068</v>
      </c>
      <c r="D267" s="471">
        <v>2496</v>
      </c>
      <c r="E267" s="472">
        <v>40246</v>
      </c>
      <c r="F267" s="477" t="s">
        <v>446</v>
      </c>
      <c r="G267" s="479">
        <v>26</v>
      </c>
      <c r="H267" s="477" t="s">
        <v>514</v>
      </c>
      <c r="I267" s="498" t="s">
        <v>515</v>
      </c>
      <c r="J267" s="499">
        <f t="shared" si="9"/>
        <v>4406.84</v>
      </c>
    </row>
    <row r="268" spans="1:10" ht="20.25" customHeight="1">
      <c r="A268" s="471">
        <v>5111</v>
      </c>
      <c r="B268" s="472" t="s">
        <v>445</v>
      </c>
      <c r="C268" s="473">
        <v>1069</v>
      </c>
      <c r="D268" s="471">
        <v>2496</v>
      </c>
      <c r="E268" s="472">
        <v>40246</v>
      </c>
      <c r="F268" s="477" t="s">
        <v>446</v>
      </c>
      <c r="G268" s="479">
        <v>27</v>
      </c>
      <c r="H268" s="477" t="s">
        <v>516</v>
      </c>
      <c r="I268" s="498" t="s">
        <v>517</v>
      </c>
      <c r="J268" s="499">
        <f t="shared" ref="J268:J273" si="10">8900*1.16</f>
        <v>10324</v>
      </c>
    </row>
    <row r="269" spans="1:10" ht="20.25" customHeight="1">
      <c r="A269" s="471">
        <v>5111</v>
      </c>
      <c r="B269" s="472" t="s">
        <v>445</v>
      </c>
      <c r="C269" s="473">
        <v>1070</v>
      </c>
      <c r="D269" s="471">
        <v>2496</v>
      </c>
      <c r="E269" s="472">
        <v>40246</v>
      </c>
      <c r="F269" s="477" t="s">
        <v>446</v>
      </c>
      <c r="G269" s="479">
        <v>27</v>
      </c>
      <c r="H269" s="477" t="s">
        <v>516</v>
      </c>
      <c r="I269" s="498" t="s">
        <v>517</v>
      </c>
      <c r="J269" s="499">
        <f t="shared" si="10"/>
        <v>10324</v>
      </c>
    </row>
    <row r="270" spans="1:10" ht="20.25" customHeight="1">
      <c r="A270" s="471">
        <v>5111</v>
      </c>
      <c r="B270" s="472" t="s">
        <v>445</v>
      </c>
      <c r="C270" s="473">
        <v>1071</v>
      </c>
      <c r="D270" s="471">
        <v>2496</v>
      </c>
      <c r="E270" s="472">
        <v>40246</v>
      </c>
      <c r="F270" s="477" t="s">
        <v>446</v>
      </c>
      <c r="G270" s="479">
        <v>27</v>
      </c>
      <c r="H270" s="477" t="s">
        <v>516</v>
      </c>
      <c r="I270" s="498" t="s">
        <v>517</v>
      </c>
      <c r="J270" s="499">
        <f t="shared" si="10"/>
        <v>10324</v>
      </c>
    </row>
    <row r="271" spans="1:10" ht="20.25" customHeight="1">
      <c r="A271" s="471">
        <v>5111</v>
      </c>
      <c r="B271" s="472" t="s">
        <v>445</v>
      </c>
      <c r="C271" s="473">
        <v>1072</v>
      </c>
      <c r="D271" s="471">
        <v>2496</v>
      </c>
      <c r="E271" s="472">
        <v>40246</v>
      </c>
      <c r="F271" s="477" t="s">
        <v>446</v>
      </c>
      <c r="G271" s="479">
        <v>27</v>
      </c>
      <c r="H271" s="477" t="s">
        <v>516</v>
      </c>
      <c r="I271" s="498" t="s">
        <v>517</v>
      </c>
      <c r="J271" s="499">
        <f t="shared" si="10"/>
        <v>10324</v>
      </c>
    </row>
    <row r="272" spans="1:10" ht="20.25" customHeight="1">
      <c r="A272" s="471">
        <v>5111</v>
      </c>
      <c r="B272" s="472" t="s">
        <v>445</v>
      </c>
      <c r="C272" s="473">
        <v>1073</v>
      </c>
      <c r="D272" s="471">
        <v>2496</v>
      </c>
      <c r="E272" s="472">
        <v>40246</v>
      </c>
      <c r="F272" s="477" t="s">
        <v>446</v>
      </c>
      <c r="G272" s="479">
        <v>27</v>
      </c>
      <c r="H272" s="477" t="s">
        <v>516</v>
      </c>
      <c r="I272" s="498" t="s">
        <v>517</v>
      </c>
      <c r="J272" s="499">
        <f t="shared" si="10"/>
        <v>10324</v>
      </c>
    </row>
    <row r="273" spans="1:10" ht="20.25" customHeight="1">
      <c r="A273" s="471">
        <v>5111</v>
      </c>
      <c r="B273" s="472" t="s">
        <v>445</v>
      </c>
      <c r="C273" s="473">
        <v>1074</v>
      </c>
      <c r="D273" s="471">
        <v>2496</v>
      </c>
      <c r="E273" s="472">
        <v>40246</v>
      </c>
      <c r="F273" s="477" t="s">
        <v>446</v>
      </c>
      <c r="G273" s="479">
        <v>27</v>
      </c>
      <c r="H273" s="477" t="s">
        <v>516</v>
      </c>
      <c r="I273" s="498" t="s">
        <v>517</v>
      </c>
      <c r="J273" s="499">
        <f t="shared" si="10"/>
        <v>10324</v>
      </c>
    </row>
    <row r="274" spans="1:10" ht="20.25" customHeight="1">
      <c r="A274" s="471">
        <v>5111</v>
      </c>
      <c r="B274" s="472" t="s">
        <v>445</v>
      </c>
      <c r="C274" s="473">
        <v>1075</v>
      </c>
      <c r="D274" s="471">
        <v>2496</v>
      </c>
      <c r="E274" s="472">
        <v>40246</v>
      </c>
      <c r="F274" s="477" t="s">
        <v>446</v>
      </c>
      <c r="G274" s="479">
        <v>28</v>
      </c>
      <c r="H274" s="477" t="s">
        <v>518</v>
      </c>
      <c r="I274" s="498" t="s">
        <v>519</v>
      </c>
      <c r="J274" s="499">
        <f>3350*1.16</f>
        <v>3885.9999999999995</v>
      </c>
    </row>
    <row r="275" spans="1:10" ht="20.25" customHeight="1">
      <c r="A275" s="471">
        <v>5111</v>
      </c>
      <c r="B275" s="472" t="s">
        <v>445</v>
      </c>
      <c r="C275" s="473">
        <v>1076</v>
      </c>
      <c r="D275" s="471">
        <v>2496</v>
      </c>
      <c r="E275" s="472">
        <v>40246</v>
      </c>
      <c r="F275" s="477" t="s">
        <v>446</v>
      </c>
      <c r="G275" s="479">
        <v>28</v>
      </c>
      <c r="H275" s="477" t="s">
        <v>518</v>
      </c>
      <c r="I275" s="498" t="s">
        <v>519</v>
      </c>
      <c r="J275" s="499">
        <f>3350*1.16</f>
        <v>3885.9999999999995</v>
      </c>
    </row>
    <row r="276" spans="1:10" ht="20.25" customHeight="1">
      <c r="A276" s="471">
        <v>5111</v>
      </c>
      <c r="B276" s="472" t="s">
        <v>445</v>
      </c>
      <c r="C276" s="473">
        <v>1077</v>
      </c>
      <c r="D276" s="471">
        <v>2496</v>
      </c>
      <c r="E276" s="472">
        <v>40246</v>
      </c>
      <c r="F276" s="477" t="s">
        <v>446</v>
      </c>
      <c r="G276" s="479">
        <v>28</v>
      </c>
      <c r="H276" s="477" t="s">
        <v>518</v>
      </c>
      <c r="I276" s="498" t="s">
        <v>520</v>
      </c>
      <c r="J276" s="499">
        <f>3350*1.16</f>
        <v>3885.9999999999995</v>
      </c>
    </row>
    <row r="277" spans="1:10" ht="20.25" customHeight="1">
      <c r="A277" s="471">
        <v>5111</v>
      </c>
      <c r="B277" s="472" t="s">
        <v>445</v>
      </c>
      <c r="C277" s="473">
        <v>1078</v>
      </c>
      <c r="D277" s="471">
        <v>2116</v>
      </c>
      <c r="E277" s="472">
        <v>40359</v>
      </c>
      <c r="F277" s="475" t="s">
        <v>446</v>
      </c>
      <c r="G277" s="476">
        <v>29</v>
      </c>
      <c r="H277" s="475" t="s">
        <v>521</v>
      </c>
      <c r="I277" s="498" t="s">
        <v>522</v>
      </c>
      <c r="J277" s="499">
        <f t="shared" ref="J277:J285" si="11">808.24*1.16</f>
        <v>937.55839999999989</v>
      </c>
    </row>
    <row r="278" spans="1:10" ht="20.25" customHeight="1">
      <c r="A278" s="471">
        <v>5111</v>
      </c>
      <c r="B278" s="472" t="s">
        <v>445</v>
      </c>
      <c r="C278" s="473">
        <v>1079</v>
      </c>
      <c r="D278" s="471">
        <v>2116</v>
      </c>
      <c r="E278" s="472">
        <v>40359</v>
      </c>
      <c r="F278" s="475" t="s">
        <v>446</v>
      </c>
      <c r="G278" s="476">
        <v>29</v>
      </c>
      <c r="H278" s="475" t="s">
        <v>521</v>
      </c>
      <c r="I278" s="498" t="s">
        <v>522</v>
      </c>
      <c r="J278" s="499">
        <f t="shared" si="11"/>
        <v>937.55839999999989</v>
      </c>
    </row>
    <row r="279" spans="1:10" ht="20.25" customHeight="1">
      <c r="A279" s="471">
        <v>5111</v>
      </c>
      <c r="B279" s="472" t="s">
        <v>445</v>
      </c>
      <c r="C279" s="473">
        <v>1080</v>
      </c>
      <c r="D279" s="471">
        <v>2116</v>
      </c>
      <c r="E279" s="472">
        <v>40359</v>
      </c>
      <c r="F279" s="475" t="s">
        <v>446</v>
      </c>
      <c r="G279" s="476">
        <v>29</v>
      </c>
      <c r="H279" s="475" t="s">
        <v>521</v>
      </c>
      <c r="I279" s="498" t="s">
        <v>522</v>
      </c>
      <c r="J279" s="499">
        <f t="shared" si="11"/>
        <v>937.55839999999989</v>
      </c>
    </row>
    <row r="280" spans="1:10" ht="20.25" customHeight="1">
      <c r="A280" s="471">
        <v>5111</v>
      </c>
      <c r="B280" s="472" t="s">
        <v>445</v>
      </c>
      <c r="C280" s="473">
        <v>1081</v>
      </c>
      <c r="D280" s="471">
        <v>2116</v>
      </c>
      <c r="E280" s="472">
        <v>40359</v>
      </c>
      <c r="F280" s="475" t="s">
        <v>446</v>
      </c>
      <c r="G280" s="476">
        <v>29</v>
      </c>
      <c r="H280" s="475" t="s">
        <v>521</v>
      </c>
      <c r="I280" s="498" t="s">
        <v>522</v>
      </c>
      <c r="J280" s="499">
        <f t="shared" si="11"/>
        <v>937.55839999999989</v>
      </c>
    </row>
    <row r="281" spans="1:10" ht="20.25" customHeight="1">
      <c r="A281" s="471">
        <v>5111</v>
      </c>
      <c r="B281" s="472" t="s">
        <v>445</v>
      </c>
      <c r="C281" s="473">
        <v>1082</v>
      </c>
      <c r="D281" s="471">
        <v>2116</v>
      </c>
      <c r="E281" s="472">
        <v>40359</v>
      </c>
      <c r="F281" s="475" t="s">
        <v>446</v>
      </c>
      <c r="G281" s="476">
        <v>29</v>
      </c>
      <c r="H281" s="475" t="s">
        <v>521</v>
      </c>
      <c r="I281" s="498" t="s">
        <v>522</v>
      </c>
      <c r="J281" s="499">
        <f t="shared" si="11"/>
        <v>937.55839999999989</v>
      </c>
    </row>
    <row r="282" spans="1:10" ht="20.25" customHeight="1">
      <c r="A282" s="471">
        <v>5111</v>
      </c>
      <c r="B282" s="472" t="s">
        <v>445</v>
      </c>
      <c r="C282" s="473">
        <v>1083</v>
      </c>
      <c r="D282" s="471">
        <v>2116</v>
      </c>
      <c r="E282" s="472">
        <v>40359</v>
      </c>
      <c r="F282" s="475" t="s">
        <v>446</v>
      </c>
      <c r="G282" s="476">
        <v>29</v>
      </c>
      <c r="H282" s="475" t="s">
        <v>521</v>
      </c>
      <c r="I282" s="498" t="s">
        <v>522</v>
      </c>
      <c r="J282" s="499">
        <f t="shared" si="11"/>
        <v>937.55839999999989</v>
      </c>
    </row>
    <row r="283" spans="1:10" ht="20.25" customHeight="1">
      <c r="A283" s="471">
        <v>5111</v>
      </c>
      <c r="B283" s="472" t="s">
        <v>445</v>
      </c>
      <c r="C283" s="473">
        <v>1084</v>
      </c>
      <c r="D283" s="471">
        <v>2116</v>
      </c>
      <c r="E283" s="472">
        <v>40359</v>
      </c>
      <c r="F283" s="475" t="s">
        <v>446</v>
      </c>
      <c r="G283" s="476">
        <v>29</v>
      </c>
      <c r="H283" s="475" t="s">
        <v>521</v>
      </c>
      <c r="I283" s="498" t="s">
        <v>522</v>
      </c>
      <c r="J283" s="499">
        <f t="shared" si="11"/>
        <v>937.55839999999989</v>
      </c>
    </row>
    <row r="284" spans="1:10" ht="20.25" customHeight="1">
      <c r="A284" s="471">
        <v>5111</v>
      </c>
      <c r="B284" s="472" t="s">
        <v>445</v>
      </c>
      <c r="C284" s="473">
        <v>1085</v>
      </c>
      <c r="D284" s="471">
        <v>2116</v>
      </c>
      <c r="E284" s="472">
        <v>40359</v>
      </c>
      <c r="F284" s="475" t="s">
        <v>446</v>
      </c>
      <c r="G284" s="476">
        <v>29</v>
      </c>
      <c r="H284" s="475" t="s">
        <v>521</v>
      </c>
      <c r="I284" s="498" t="s">
        <v>522</v>
      </c>
      <c r="J284" s="499">
        <f t="shared" si="11"/>
        <v>937.55839999999989</v>
      </c>
    </row>
    <row r="285" spans="1:10" ht="20.25" customHeight="1">
      <c r="A285" s="471">
        <v>5111</v>
      </c>
      <c r="B285" s="472" t="s">
        <v>445</v>
      </c>
      <c r="C285" s="473">
        <v>1086</v>
      </c>
      <c r="D285" s="471">
        <v>2116</v>
      </c>
      <c r="E285" s="472">
        <v>40359</v>
      </c>
      <c r="F285" s="475" t="s">
        <v>446</v>
      </c>
      <c r="G285" s="476">
        <v>29</v>
      </c>
      <c r="H285" s="475" t="s">
        <v>521</v>
      </c>
      <c r="I285" s="498" t="s">
        <v>522</v>
      </c>
      <c r="J285" s="499">
        <f t="shared" si="11"/>
        <v>937.55839999999989</v>
      </c>
    </row>
    <row r="286" spans="1:10" ht="20.25" customHeight="1">
      <c r="A286" s="471">
        <v>5111</v>
      </c>
      <c r="B286" s="472" t="s">
        <v>445</v>
      </c>
      <c r="C286" s="473">
        <v>1087</v>
      </c>
      <c r="D286" s="471">
        <v>2116</v>
      </c>
      <c r="E286" s="472">
        <v>40359</v>
      </c>
      <c r="F286" s="475" t="s">
        <v>446</v>
      </c>
      <c r="G286" s="476">
        <v>29</v>
      </c>
      <c r="H286" s="475" t="s">
        <v>521</v>
      </c>
      <c r="I286" s="498" t="s">
        <v>522</v>
      </c>
      <c r="J286" s="499">
        <f>(808.24*1.16)+0.01</f>
        <v>937.56839999999988</v>
      </c>
    </row>
    <row r="287" spans="1:10" ht="20.25" customHeight="1">
      <c r="A287" s="471">
        <v>5111</v>
      </c>
      <c r="B287" s="472" t="s">
        <v>445</v>
      </c>
      <c r="C287" s="473">
        <v>1088</v>
      </c>
      <c r="D287" s="471">
        <v>2116</v>
      </c>
      <c r="E287" s="472">
        <v>40359</v>
      </c>
      <c r="F287" s="475" t="s">
        <v>446</v>
      </c>
      <c r="G287" s="476">
        <v>30</v>
      </c>
      <c r="H287" s="475" t="s">
        <v>523</v>
      </c>
      <c r="I287" s="498" t="s">
        <v>524</v>
      </c>
      <c r="J287" s="499">
        <f>2188.96*1.16</f>
        <v>2539.1936000000001</v>
      </c>
    </row>
    <row r="288" spans="1:10" ht="20.25" customHeight="1">
      <c r="A288" s="471">
        <v>5111</v>
      </c>
      <c r="B288" s="472" t="s">
        <v>445</v>
      </c>
      <c r="C288" s="473">
        <v>1089</v>
      </c>
      <c r="D288" s="471">
        <v>2116</v>
      </c>
      <c r="E288" s="472">
        <v>40359</v>
      </c>
      <c r="F288" s="475" t="s">
        <v>446</v>
      </c>
      <c r="G288" s="476">
        <v>30</v>
      </c>
      <c r="H288" s="475" t="s">
        <v>523</v>
      </c>
      <c r="I288" s="498" t="s">
        <v>524</v>
      </c>
      <c r="J288" s="499">
        <f>2188.96*1.16</f>
        <v>2539.1936000000001</v>
      </c>
    </row>
    <row r="289" spans="1:10" ht="20.25" customHeight="1">
      <c r="A289" s="471">
        <v>5111</v>
      </c>
      <c r="B289" s="472" t="s">
        <v>445</v>
      </c>
      <c r="C289" s="473">
        <v>1090</v>
      </c>
      <c r="D289" s="471">
        <v>2116</v>
      </c>
      <c r="E289" s="472">
        <v>40359</v>
      </c>
      <c r="F289" s="475" t="s">
        <v>446</v>
      </c>
      <c r="G289" s="476">
        <v>30</v>
      </c>
      <c r="H289" s="475" t="s">
        <v>523</v>
      </c>
      <c r="I289" s="498" t="s">
        <v>524</v>
      </c>
      <c r="J289" s="499">
        <f>2188.96*1.16</f>
        <v>2539.1936000000001</v>
      </c>
    </row>
    <row r="290" spans="1:10" ht="20.25" customHeight="1">
      <c r="A290" s="471">
        <v>5111</v>
      </c>
      <c r="B290" s="472" t="s">
        <v>445</v>
      </c>
      <c r="C290" s="473">
        <v>1091</v>
      </c>
      <c r="D290" s="471">
        <v>2116</v>
      </c>
      <c r="E290" s="472">
        <v>40359</v>
      </c>
      <c r="F290" s="475" t="s">
        <v>446</v>
      </c>
      <c r="G290" s="476">
        <v>30</v>
      </c>
      <c r="H290" s="475" t="s">
        <v>523</v>
      </c>
      <c r="I290" s="498" t="s">
        <v>524</v>
      </c>
      <c r="J290" s="499">
        <f>2188.96*1.16</f>
        <v>2539.1936000000001</v>
      </c>
    </row>
    <row r="291" spans="1:10" ht="20.25" customHeight="1">
      <c r="A291" s="471">
        <v>5111</v>
      </c>
      <c r="B291" s="477" t="s">
        <v>445</v>
      </c>
      <c r="C291" s="473">
        <v>1092</v>
      </c>
      <c r="D291" s="471">
        <v>2116</v>
      </c>
      <c r="E291" s="477">
        <v>40359</v>
      </c>
      <c r="F291" s="475" t="s">
        <v>446</v>
      </c>
      <c r="G291" s="476">
        <v>31</v>
      </c>
      <c r="H291" s="475" t="s">
        <v>525</v>
      </c>
      <c r="I291" s="498" t="s">
        <v>526</v>
      </c>
      <c r="J291" s="501">
        <f>3096.41*1.16</f>
        <v>3591.8355999999994</v>
      </c>
    </row>
    <row r="292" spans="1:10" ht="20.25" customHeight="1">
      <c r="A292" s="471">
        <v>5111</v>
      </c>
      <c r="B292" s="477" t="s">
        <v>445</v>
      </c>
      <c r="C292" s="473">
        <v>1093</v>
      </c>
      <c r="D292" s="471">
        <v>2116</v>
      </c>
      <c r="E292" s="477">
        <v>40359</v>
      </c>
      <c r="F292" s="475" t="s">
        <v>446</v>
      </c>
      <c r="G292" s="476">
        <v>31</v>
      </c>
      <c r="H292" s="475" t="s">
        <v>525</v>
      </c>
      <c r="I292" s="498" t="s">
        <v>526</v>
      </c>
      <c r="J292" s="501">
        <f>3096.41*1.16</f>
        <v>3591.8355999999994</v>
      </c>
    </row>
    <row r="293" spans="1:10" ht="20.25" customHeight="1">
      <c r="A293" s="471">
        <v>5111</v>
      </c>
      <c r="B293" s="477" t="s">
        <v>445</v>
      </c>
      <c r="C293" s="473">
        <v>1094</v>
      </c>
      <c r="D293" s="471">
        <v>2116</v>
      </c>
      <c r="E293" s="477">
        <v>40359</v>
      </c>
      <c r="F293" s="475" t="s">
        <v>446</v>
      </c>
      <c r="G293" s="476">
        <v>31</v>
      </c>
      <c r="H293" s="475" t="s">
        <v>525</v>
      </c>
      <c r="I293" s="498" t="s">
        <v>526</v>
      </c>
      <c r="J293" s="501">
        <f>3096.41*1.16</f>
        <v>3591.8355999999994</v>
      </c>
    </row>
    <row r="294" spans="1:10" ht="20.25" customHeight="1">
      <c r="A294" s="471">
        <v>5111</v>
      </c>
      <c r="B294" s="472" t="s">
        <v>445</v>
      </c>
      <c r="C294" s="473">
        <v>1095</v>
      </c>
      <c r="D294" s="471">
        <v>719</v>
      </c>
      <c r="E294" s="472">
        <v>40382</v>
      </c>
      <c r="F294" s="475" t="s">
        <v>446</v>
      </c>
      <c r="G294" s="476">
        <v>32</v>
      </c>
      <c r="H294" s="475" t="s">
        <v>527</v>
      </c>
      <c r="I294" s="498" t="s">
        <v>528</v>
      </c>
      <c r="J294" s="499">
        <v>2923.2</v>
      </c>
    </row>
    <row r="295" spans="1:10" ht="20.25" customHeight="1">
      <c r="A295" s="471">
        <v>5111</v>
      </c>
      <c r="B295" s="472" t="s">
        <v>445</v>
      </c>
      <c r="C295" s="473">
        <v>1096</v>
      </c>
      <c r="D295" s="471">
        <v>719</v>
      </c>
      <c r="E295" s="472">
        <v>40382</v>
      </c>
      <c r="F295" s="475" t="s">
        <v>446</v>
      </c>
      <c r="G295" s="476">
        <v>32</v>
      </c>
      <c r="H295" s="475" t="s">
        <v>527</v>
      </c>
      <c r="I295" s="498" t="s">
        <v>528</v>
      </c>
      <c r="J295" s="499">
        <v>2923.2</v>
      </c>
    </row>
    <row r="296" spans="1:10" ht="20.25" customHeight="1">
      <c r="A296" s="471">
        <v>5111</v>
      </c>
      <c r="B296" s="477" t="s">
        <v>445</v>
      </c>
      <c r="C296" s="473">
        <v>1097</v>
      </c>
      <c r="D296" s="478">
        <v>2751</v>
      </c>
      <c r="E296" s="477">
        <v>40392</v>
      </c>
      <c r="F296" s="475" t="s">
        <v>446</v>
      </c>
      <c r="G296" s="476">
        <v>33</v>
      </c>
      <c r="H296" s="475" t="s">
        <v>529</v>
      </c>
      <c r="I296" s="498" t="s">
        <v>530</v>
      </c>
      <c r="J296" s="501">
        <f>72500*1.16</f>
        <v>84100</v>
      </c>
    </row>
    <row r="297" spans="1:10" ht="20.25" customHeight="1">
      <c r="A297" s="471">
        <v>5111</v>
      </c>
      <c r="B297" s="477" t="s">
        <v>445</v>
      </c>
      <c r="C297" s="473">
        <v>1098</v>
      </c>
      <c r="D297" s="478">
        <v>2751</v>
      </c>
      <c r="E297" s="477">
        <v>40392</v>
      </c>
      <c r="F297" s="475" t="s">
        <v>446</v>
      </c>
      <c r="G297" s="476">
        <v>33</v>
      </c>
      <c r="H297" s="475" t="s">
        <v>529</v>
      </c>
      <c r="I297" s="498" t="s">
        <v>531</v>
      </c>
      <c r="J297" s="501">
        <v>0</v>
      </c>
    </row>
    <row r="298" spans="1:10" ht="20.25" customHeight="1">
      <c r="A298" s="471">
        <v>5111</v>
      </c>
      <c r="B298" s="477" t="s">
        <v>445</v>
      </c>
      <c r="C298" s="473">
        <v>1099</v>
      </c>
      <c r="D298" s="478">
        <v>2751</v>
      </c>
      <c r="E298" s="477">
        <v>40392</v>
      </c>
      <c r="F298" s="475" t="s">
        <v>446</v>
      </c>
      <c r="G298" s="476">
        <v>33</v>
      </c>
      <c r="H298" s="475" t="s">
        <v>529</v>
      </c>
      <c r="I298" s="498" t="s">
        <v>532</v>
      </c>
      <c r="J298" s="501">
        <v>0</v>
      </c>
    </row>
    <row r="299" spans="1:10" ht="20.25" customHeight="1">
      <c r="A299" s="471">
        <v>5111</v>
      </c>
      <c r="B299" s="477" t="s">
        <v>445</v>
      </c>
      <c r="C299" s="473">
        <v>1100</v>
      </c>
      <c r="D299" s="478">
        <v>2751</v>
      </c>
      <c r="E299" s="477">
        <v>40392</v>
      </c>
      <c r="F299" s="475" t="s">
        <v>446</v>
      </c>
      <c r="G299" s="476">
        <v>33</v>
      </c>
      <c r="H299" s="475" t="s">
        <v>529</v>
      </c>
      <c r="I299" s="498" t="s">
        <v>533</v>
      </c>
      <c r="J299" s="501">
        <v>0</v>
      </c>
    </row>
    <row r="300" spans="1:10" ht="20.25" customHeight="1">
      <c r="A300" s="471">
        <v>5111</v>
      </c>
      <c r="B300" s="477" t="s">
        <v>445</v>
      </c>
      <c r="C300" s="473">
        <v>1101</v>
      </c>
      <c r="D300" s="478">
        <v>2751</v>
      </c>
      <c r="E300" s="477">
        <v>40392</v>
      </c>
      <c r="F300" s="475" t="s">
        <v>446</v>
      </c>
      <c r="G300" s="476">
        <v>33</v>
      </c>
      <c r="H300" s="475" t="s">
        <v>529</v>
      </c>
      <c r="I300" s="498" t="s">
        <v>534</v>
      </c>
      <c r="J300" s="501">
        <v>0</v>
      </c>
    </row>
    <row r="301" spans="1:10" ht="20.25" customHeight="1">
      <c r="A301" s="471">
        <v>5111</v>
      </c>
      <c r="B301" s="477" t="s">
        <v>445</v>
      </c>
      <c r="C301" s="473">
        <v>1102</v>
      </c>
      <c r="D301" s="478">
        <v>2751</v>
      </c>
      <c r="E301" s="477">
        <v>40392</v>
      </c>
      <c r="F301" s="475" t="s">
        <v>446</v>
      </c>
      <c r="G301" s="476">
        <v>33</v>
      </c>
      <c r="H301" s="475" t="s">
        <v>529</v>
      </c>
      <c r="I301" s="498" t="s">
        <v>535</v>
      </c>
      <c r="J301" s="501">
        <v>0</v>
      </c>
    </row>
    <row r="302" spans="1:10" ht="20.25" customHeight="1">
      <c r="A302" s="471">
        <v>5111</v>
      </c>
      <c r="B302" s="477" t="s">
        <v>445</v>
      </c>
      <c r="C302" s="473">
        <v>1103</v>
      </c>
      <c r="D302" s="478">
        <v>2751</v>
      </c>
      <c r="E302" s="477">
        <v>40392</v>
      </c>
      <c r="F302" s="475" t="s">
        <v>446</v>
      </c>
      <c r="G302" s="476">
        <v>33</v>
      </c>
      <c r="H302" s="475" t="s">
        <v>529</v>
      </c>
      <c r="I302" s="498" t="s">
        <v>536</v>
      </c>
      <c r="J302" s="501">
        <v>0</v>
      </c>
    </row>
    <row r="303" spans="1:10" ht="20.25" customHeight="1">
      <c r="A303" s="471">
        <v>5111</v>
      </c>
      <c r="B303" s="477" t="s">
        <v>445</v>
      </c>
      <c r="C303" s="473">
        <v>1104</v>
      </c>
      <c r="D303" s="478">
        <v>2751</v>
      </c>
      <c r="E303" s="477">
        <v>40392</v>
      </c>
      <c r="F303" s="475" t="s">
        <v>446</v>
      </c>
      <c r="G303" s="476">
        <v>33</v>
      </c>
      <c r="H303" s="475" t="s">
        <v>529</v>
      </c>
      <c r="I303" s="498" t="s">
        <v>537</v>
      </c>
      <c r="J303" s="501">
        <v>0</v>
      </c>
    </row>
    <row r="304" spans="1:10" ht="20.25" customHeight="1">
      <c r="A304" s="471">
        <v>5111</v>
      </c>
      <c r="B304" s="477" t="s">
        <v>445</v>
      </c>
      <c r="C304" s="473">
        <v>1105</v>
      </c>
      <c r="D304" s="478">
        <v>2751</v>
      </c>
      <c r="E304" s="477">
        <v>40392</v>
      </c>
      <c r="F304" s="475" t="s">
        <v>446</v>
      </c>
      <c r="G304" s="476">
        <v>33</v>
      </c>
      <c r="H304" s="475" t="s">
        <v>529</v>
      </c>
      <c r="I304" s="498" t="s">
        <v>538</v>
      </c>
      <c r="J304" s="501">
        <v>0</v>
      </c>
    </row>
    <row r="305" spans="1:10" ht="20.25" customHeight="1">
      <c r="A305" s="471">
        <v>5111</v>
      </c>
      <c r="B305" s="477" t="s">
        <v>445</v>
      </c>
      <c r="C305" s="473">
        <v>1106</v>
      </c>
      <c r="D305" s="478">
        <v>2751</v>
      </c>
      <c r="E305" s="477">
        <v>40392</v>
      </c>
      <c r="F305" s="475" t="s">
        <v>446</v>
      </c>
      <c r="G305" s="476">
        <v>33</v>
      </c>
      <c r="H305" s="475" t="s">
        <v>529</v>
      </c>
      <c r="I305" s="498" t="s">
        <v>539</v>
      </c>
      <c r="J305" s="501">
        <v>0</v>
      </c>
    </row>
    <row r="306" spans="1:10" ht="20.25" customHeight="1">
      <c r="A306" s="471">
        <v>5111</v>
      </c>
      <c r="B306" s="477" t="s">
        <v>445</v>
      </c>
      <c r="C306" s="473">
        <v>1107</v>
      </c>
      <c r="D306" s="478">
        <v>2751</v>
      </c>
      <c r="E306" s="477">
        <v>40392</v>
      </c>
      <c r="F306" s="475" t="s">
        <v>446</v>
      </c>
      <c r="G306" s="476">
        <v>33</v>
      </c>
      <c r="H306" s="475" t="s">
        <v>529</v>
      </c>
      <c r="I306" s="498" t="s">
        <v>540</v>
      </c>
      <c r="J306" s="501">
        <v>0</v>
      </c>
    </row>
    <row r="307" spans="1:10" ht="20.25" customHeight="1">
      <c r="A307" s="471">
        <v>5111</v>
      </c>
      <c r="B307" s="477" t="s">
        <v>445</v>
      </c>
      <c r="C307" s="473">
        <v>1108</v>
      </c>
      <c r="D307" s="478">
        <v>2751</v>
      </c>
      <c r="E307" s="477">
        <v>40392</v>
      </c>
      <c r="F307" s="475" t="s">
        <v>446</v>
      </c>
      <c r="G307" s="476">
        <v>33</v>
      </c>
      <c r="H307" s="475" t="s">
        <v>529</v>
      </c>
      <c r="I307" s="498" t="s">
        <v>541</v>
      </c>
      <c r="J307" s="501">
        <v>0</v>
      </c>
    </row>
    <row r="308" spans="1:10" ht="20.25" customHeight="1">
      <c r="A308" s="471">
        <v>5111</v>
      </c>
      <c r="B308" s="477" t="s">
        <v>445</v>
      </c>
      <c r="C308" s="473">
        <v>1109</v>
      </c>
      <c r="D308" s="478">
        <v>2751</v>
      </c>
      <c r="E308" s="477">
        <v>40392</v>
      </c>
      <c r="F308" s="475" t="s">
        <v>446</v>
      </c>
      <c r="G308" s="476">
        <v>33</v>
      </c>
      <c r="H308" s="475" t="s">
        <v>529</v>
      </c>
      <c r="I308" s="498" t="s">
        <v>542</v>
      </c>
      <c r="J308" s="501">
        <v>0</v>
      </c>
    </row>
    <row r="309" spans="1:10" ht="20.25" customHeight="1">
      <c r="A309" s="471">
        <v>5111</v>
      </c>
      <c r="B309" s="477" t="s">
        <v>445</v>
      </c>
      <c r="C309" s="473">
        <v>1110</v>
      </c>
      <c r="D309" s="478">
        <v>2751</v>
      </c>
      <c r="E309" s="477">
        <v>40392</v>
      </c>
      <c r="F309" s="475" t="s">
        <v>446</v>
      </c>
      <c r="G309" s="476">
        <v>33</v>
      </c>
      <c r="H309" s="475" t="s">
        <v>529</v>
      </c>
      <c r="I309" s="498" t="s">
        <v>543</v>
      </c>
      <c r="J309" s="501">
        <v>0</v>
      </c>
    </row>
    <row r="310" spans="1:10" ht="20.25" customHeight="1">
      <c r="A310" s="471">
        <v>5111</v>
      </c>
      <c r="B310" s="477" t="s">
        <v>445</v>
      </c>
      <c r="C310" s="473">
        <v>1111</v>
      </c>
      <c r="D310" s="478">
        <v>2751</v>
      </c>
      <c r="E310" s="477">
        <v>40392</v>
      </c>
      <c r="F310" s="475" t="s">
        <v>446</v>
      </c>
      <c r="G310" s="476">
        <v>33</v>
      </c>
      <c r="H310" s="475" t="s">
        <v>529</v>
      </c>
      <c r="I310" s="498" t="s">
        <v>544</v>
      </c>
      <c r="J310" s="501">
        <v>0</v>
      </c>
    </row>
    <row r="311" spans="1:10" ht="20.25" customHeight="1">
      <c r="A311" s="471">
        <v>5111</v>
      </c>
      <c r="B311" s="477" t="s">
        <v>445</v>
      </c>
      <c r="C311" s="473">
        <v>1112</v>
      </c>
      <c r="D311" s="478">
        <v>2751</v>
      </c>
      <c r="E311" s="477">
        <v>40392</v>
      </c>
      <c r="F311" s="475" t="s">
        <v>446</v>
      </c>
      <c r="G311" s="476">
        <v>33</v>
      </c>
      <c r="H311" s="475" t="s">
        <v>529</v>
      </c>
      <c r="I311" s="498" t="s">
        <v>545</v>
      </c>
      <c r="J311" s="501">
        <v>0</v>
      </c>
    </row>
    <row r="312" spans="1:10" ht="20.25" customHeight="1">
      <c r="A312" s="471">
        <v>5111</v>
      </c>
      <c r="B312" s="477" t="s">
        <v>445</v>
      </c>
      <c r="C312" s="473">
        <v>1113</v>
      </c>
      <c r="D312" s="478">
        <v>2751</v>
      </c>
      <c r="E312" s="477">
        <v>40392</v>
      </c>
      <c r="F312" s="475" t="s">
        <v>446</v>
      </c>
      <c r="G312" s="476">
        <v>33</v>
      </c>
      <c r="H312" s="475" t="s">
        <v>529</v>
      </c>
      <c r="I312" s="498" t="s">
        <v>546</v>
      </c>
      <c r="J312" s="501">
        <v>0</v>
      </c>
    </row>
    <row r="313" spans="1:10" ht="20.25" customHeight="1">
      <c r="A313" s="471">
        <v>5111</v>
      </c>
      <c r="B313" s="477" t="s">
        <v>445</v>
      </c>
      <c r="C313" s="473">
        <v>1114</v>
      </c>
      <c r="D313" s="478">
        <v>2751</v>
      </c>
      <c r="E313" s="477">
        <v>40392</v>
      </c>
      <c r="F313" s="475" t="s">
        <v>446</v>
      </c>
      <c r="G313" s="476">
        <v>33</v>
      </c>
      <c r="H313" s="475" t="s">
        <v>529</v>
      </c>
      <c r="I313" s="498" t="s">
        <v>547</v>
      </c>
      <c r="J313" s="501">
        <v>0</v>
      </c>
    </row>
    <row r="314" spans="1:10" ht="20.25" customHeight="1">
      <c r="A314" s="471">
        <v>5111</v>
      </c>
      <c r="B314" s="477" t="s">
        <v>445</v>
      </c>
      <c r="C314" s="473">
        <v>1115</v>
      </c>
      <c r="D314" s="478">
        <v>2751</v>
      </c>
      <c r="E314" s="477">
        <v>40392</v>
      </c>
      <c r="F314" s="475" t="s">
        <v>446</v>
      </c>
      <c r="G314" s="476">
        <v>33</v>
      </c>
      <c r="H314" s="475" t="s">
        <v>529</v>
      </c>
      <c r="I314" s="498" t="s">
        <v>548</v>
      </c>
      <c r="J314" s="501">
        <v>0</v>
      </c>
    </row>
    <row r="315" spans="1:10" ht="20.25" customHeight="1">
      <c r="A315" s="471">
        <v>5111</v>
      </c>
      <c r="B315" s="477" t="s">
        <v>445</v>
      </c>
      <c r="C315" s="473">
        <v>1116</v>
      </c>
      <c r="D315" s="478">
        <v>2751</v>
      </c>
      <c r="E315" s="477">
        <v>40392</v>
      </c>
      <c r="F315" s="475" t="s">
        <v>446</v>
      </c>
      <c r="G315" s="476">
        <v>33</v>
      </c>
      <c r="H315" s="475" t="s">
        <v>529</v>
      </c>
      <c r="I315" s="498" t="s">
        <v>549</v>
      </c>
      <c r="J315" s="502">
        <v>0</v>
      </c>
    </row>
    <row r="316" spans="1:10" ht="20.25" customHeight="1">
      <c r="A316" s="471">
        <v>5111</v>
      </c>
      <c r="B316" s="477" t="s">
        <v>445</v>
      </c>
      <c r="C316" s="473">
        <v>1117</v>
      </c>
      <c r="D316" s="478">
        <v>2751</v>
      </c>
      <c r="E316" s="477">
        <v>40392</v>
      </c>
      <c r="F316" s="475" t="s">
        <v>446</v>
      </c>
      <c r="G316" s="476">
        <v>33</v>
      </c>
      <c r="H316" s="475" t="s">
        <v>529</v>
      </c>
      <c r="I316" s="498" t="s">
        <v>550</v>
      </c>
      <c r="J316" s="501">
        <v>0</v>
      </c>
    </row>
    <row r="317" spans="1:10" ht="20.25" customHeight="1">
      <c r="A317" s="471">
        <v>5111</v>
      </c>
      <c r="B317" s="477" t="s">
        <v>445</v>
      </c>
      <c r="C317" s="473">
        <v>1118</v>
      </c>
      <c r="D317" s="478">
        <v>2751</v>
      </c>
      <c r="E317" s="477">
        <v>40392</v>
      </c>
      <c r="F317" s="475" t="s">
        <v>446</v>
      </c>
      <c r="G317" s="476">
        <v>33</v>
      </c>
      <c r="H317" s="475" t="s">
        <v>529</v>
      </c>
      <c r="I317" s="498" t="s">
        <v>551</v>
      </c>
      <c r="J317" s="501">
        <v>0</v>
      </c>
    </row>
    <row r="318" spans="1:10" ht="20.25" customHeight="1">
      <c r="A318" s="471">
        <v>5111</v>
      </c>
      <c r="B318" s="477" t="s">
        <v>445</v>
      </c>
      <c r="C318" s="473">
        <v>1119</v>
      </c>
      <c r="D318" s="478">
        <v>2751</v>
      </c>
      <c r="E318" s="477">
        <v>40392</v>
      </c>
      <c r="F318" s="475" t="s">
        <v>446</v>
      </c>
      <c r="G318" s="476">
        <v>33</v>
      </c>
      <c r="H318" s="475" t="s">
        <v>529</v>
      </c>
      <c r="I318" s="498" t="s">
        <v>552</v>
      </c>
      <c r="J318" s="501">
        <v>0</v>
      </c>
    </row>
    <row r="319" spans="1:10" ht="20.25" customHeight="1">
      <c r="A319" s="471">
        <v>5111</v>
      </c>
      <c r="B319" s="477" t="s">
        <v>445</v>
      </c>
      <c r="C319" s="473">
        <v>1120</v>
      </c>
      <c r="D319" s="478">
        <v>2751</v>
      </c>
      <c r="E319" s="477">
        <v>40392</v>
      </c>
      <c r="F319" s="475" t="s">
        <v>446</v>
      </c>
      <c r="G319" s="476">
        <v>33</v>
      </c>
      <c r="H319" s="475" t="s">
        <v>529</v>
      </c>
      <c r="I319" s="498" t="s">
        <v>553</v>
      </c>
      <c r="J319" s="501">
        <v>0</v>
      </c>
    </row>
    <row r="320" spans="1:10" ht="20.25" customHeight="1">
      <c r="A320" s="471">
        <v>5111</v>
      </c>
      <c r="B320" s="477" t="s">
        <v>445</v>
      </c>
      <c r="C320" s="473">
        <v>1121</v>
      </c>
      <c r="D320" s="478">
        <v>2751</v>
      </c>
      <c r="E320" s="477">
        <v>40392</v>
      </c>
      <c r="F320" s="475" t="s">
        <v>446</v>
      </c>
      <c r="G320" s="476">
        <v>33</v>
      </c>
      <c r="H320" s="475" t="s">
        <v>529</v>
      </c>
      <c r="I320" s="498" t="s">
        <v>554</v>
      </c>
      <c r="J320" s="501">
        <v>0</v>
      </c>
    </row>
    <row r="321" spans="1:10" ht="20.25" customHeight="1">
      <c r="A321" s="471">
        <v>5111</v>
      </c>
      <c r="B321" s="477" t="s">
        <v>445</v>
      </c>
      <c r="C321" s="473">
        <v>1122</v>
      </c>
      <c r="D321" s="478">
        <v>2751</v>
      </c>
      <c r="E321" s="477">
        <v>40392</v>
      </c>
      <c r="F321" s="475" t="s">
        <v>446</v>
      </c>
      <c r="G321" s="476">
        <v>33</v>
      </c>
      <c r="H321" s="475" t="s">
        <v>529</v>
      </c>
      <c r="I321" s="498" t="s">
        <v>555</v>
      </c>
      <c r="J321" s="501">
        <v>0</v>
      </c>
    </row>
    <row r="322" spans="1:10" ht="20.25" customHeight="1">
      <c r="A322" s="471">
        <v>5111</v>
      </c>
      <c r="B322" s="477" t="s">
        <v>445</v>
      </c>
      <c r="C322" s="473">
        <v>1185</v>
      </c>
      <c r="D322" s="478">
        <v>2751</v>
      </c>
      <c r="E322" s="477">
        <v>40392</v>
      </c>
      <c r="F322" s="475" t="s">
        <v>446</v>
      </c>
      <c r="G322" s="476">
        <v>33</v>
      </c>
      <c r="H322" s="475" t="s">
        <v>529</v>
      </c>
      <c r="I322" s="498" t="s">
        <v>556</v>
      </c>
      <c r="J322" s="502">
        <v>0</v>
      </c>
    </row>
    <row r="323" spans="1:10" ht="20.25" customHeight="1">
      <c r="A323" s="471">
        <v>5111</v>
      </c>
      <c r="B323" s="477" t="s">
        <v>445</v>
      </c>
      <c r="C323" s="473">
        <v>1186</v>
      </c>
      <c r="D323" s="478">
        <v>2751</v>
      </c>
      <c r="E323" s="477">
        <v>40392</v>
      </c>
      <c r="F323" s="475" t="s">
        <v>446</v>
      </c>
      <c r="G323" s="476">
        <v>33</v>
      </c>
      <c r="H323" s="475" t="s">
        <v>529</v>
      </c>
      <c r="I323" s="498" t="s">
        <v>557</v>
      </c>
      <c r="J323" s="502">
        <v>0</v>
      </c>
    </row>
    <row r="324" spans="1:10" ht="20.25" customHeight="1">
      <c r="A324" s="471">
        <v>5111</v>
      </c>
      <c r="B324" s="477" t="s">
        <v>445</v>
      </c>
      <c r="C324" s="473">
        <v>1187</v>
      </c>
      <c r="D324" s="478">
        <v>2751</v>
      </c>
      <c r="E324" s="477">
        <v>40392</v>
      </c>
      <c r="F324" s="475" t="s">
        <v>446</v>
      </c>
      <c r="G324" s="476">
        <v>33</v>
      </c>
      <c r="H324" s="475" t="s">
        <v>529</v>
      </c>
      <c r="I324" s="498" t="s">
        <v>558</v>
      </c>
      <c r="J324" s="502">
        <v>0</v>
      </c>
    </row>
    <row r="325" spans="1:10" ht="20.25" customHeight="1">
      <c r="A325" s="471">
        <v>5111</v>
      </c>
      <c r="B325" s="477" t="s">
        <v>445</v>
      </c>
      <c r="C325" s="473">
        <v>1188</v>
      </c>
      <c r="D325" s="478">
        <v>2751</v>
      </c>
      <c r="E325" s="477">
        <v>40392</v>
      </c>
      <c r="F325" s="475" t="s">
        <v>446</v>
      </c>
      <c r="G325" s="476">
        <v>33</v>
      </c>
      <c r="H325" s="475" t="s">
        <v>529</v>
      </c>
      <c r="I325" s="498" t="s">
        <v>559</v>
      </c>
      <c r="J325" s="502">
        <v>0</v>
      </c>
    </row>
    <row r="326" spans="1:10" ht="20.25" customHeight="1">
      <c r="A326" s="471">
        <v>5111</v>
      </c>
      <c r="B326" s="477" t="s">
        <v>445</v>
      </c>
      <c r="C326" s="473">
        <v>1189</v>
      </c>
      <c r="D326" s="478">
        <v>2751</v>
      </c>
      <c r="E326" s="477">
        <v>40392</v>
      </c>
      <c r="F326" s="475" t="s">
        <v>446</v>
      </c>
      <c r="G326" s="476">
        <v>33</v>
      </c>
      <c r="H326" s="475" t="s">
        <v>529</v>
      </c>
      <c r="I326" s="498" t="s">
        <v>560</v>
      </c>
      <c r="J326" s="502">
        <v>0</v>
      </c>
    </row>
    <row r="327" spans="1:10" ht="20.25" customHeight="1">
      <c r="A327" s="471">
        <v>5111</v>
      </c>
      <c r="B327" s="477" t="s">
        <v>445</v>
      </c>
      <c r="C327" s="473">
        <v>1190</v>
      </c>
      <c r="D327" s="478">
        <v>2751</v>
      </c>
      <c r="E327" s="477">
        <v>40392</v>
      </c>
      <c r="F327" s="475" t="s">
        <v>446</v>
      </c>
      <c r="G327" s="476">
        <v>33</v>
      </c>
      <c r="H327" s="475" t="s">
        <v>529</v>
      </c>
      <c r="I327" s="498" t="s">
        <v>561</v>
      </c>
      <c r="J327" s="502">
        <v>0</v>
      </c>
    </row>
    <row r="328" spans="1:10" ht="20.25" customHeight="1">
      <c r="A328" s="471">
        <v>5111</v>
      </c>
      <c r="B328" s="477" t="s">
        <v>445</v>
      </c>
      <c r="C328" s="473">
        <v>1191</v>
      </c>
      <c r="D328" s="478">
        <v>2751</v>
      </c>
      <c r="E328" s="477">
        <v>40392</v>
      </c>
      <c r="F328" s="475" t="s">
        <v>446</v>
      </c>
      <c r="G328" s="476">
        <v>33</v>
      </c>
      <c r="H328" s="475" t="s">
        <v>529</v>
      </c>
      <c r="I328" s="498" t="s">
        <v>562</v>
      </c>
      <c r="J328" s="502">
        <v>0</v>
      </c>
    </row>
    <row r="329" spans="1:10" ht="20.25" customHeight="1">
      <c r="A329" s="471">
        <v>5111</v>
      </c>
      <c r="B329" s="477" t="s">
        <v>445</v>
      </c>
      <c r="C329" s="473">
        <v>1192</v>
      </c>
      <c r="D329" s="478">
        <v>2751</v>
      </c>
      <c r="E329" s="477">
        <v>40392</v>
      </c>
      <c r="F329" s="475" t="s">
        <v>446</v>
      </c>
      <c r="G329" s="476">
        <v>33</v>
      </c>
      <c r="H329" s="475" t="s">
        <v>529</v>
      </c>
      <c r="I329" s="498" t="s">
        <v>563</v>
      </c>
      <c r="J329" s="502">
        <v>0</v>
      </c>
    </row>
    <row r="330" spans="1:10" ht="20.25" customHeight="1">
      <c r="A330" s="471">
        <v>5111</v>
      </c>
      <c r="B330" s="477" t="s">
        <v>445</v>
      </c>
      <c r="C330" s="473">
        <v>1193</v>
      </c>
      <c r="D330" s="478">
        <v>2751</v>
      </c>
      <c r="E330" s="477">
        <v>40392</v>
      </c>
      <c r="F330" s="475" t="s">
        <v>446</v>
      </c>
      <c r="G330" s="476">
        <v>33</v>
      </c>
      <c r="H330" s="475" t="s">
        <v>529</v>
      </c>
      <c r="I330" s="498" t="s">
        <v>564</v>
      </c>
      <c r="J330" s="502">
        <v>0</v>
      </c>
    </row>
    <row r="331" spans="1:10" ht="20.25" customHeight="1">
      <c r="A331" s="471">
        <v>5111</v>
      </c>
      <c r="B331" s="472" t="s">
        <v>445</v>
      </c>
      <c r="C331" s="473">
        <v>1123</v>
      </c>
      <c r="D331" s="478">
        <v>2751</v>
      </c>
      <c r="E331" s="472">
        <v>40392</v>
      </c>
      <c r="F331" s="475" t="s">
        <v>446</v>
      </c>
      <c r="G331" s="476">
        <v>34</v>
      </c>
      <c r="H331" s="475" t="s">
        <v>565</v>
      </c>
      <c r="I331" s="498" t="s">
        <v>1491</v>
      </c>
      <c r="J331" s="499">
        <v>0</v>
      </c>
    </row>
    <row r="332" spans="1:10" ht="20.25" customHeight="1">
      <c r="A332" s="471">
        <v>5111</v>
      </c>
      <c r="B332" s="472" t="s">
        <v>445</v>
      </c>
      <c r="C332" s="473">
        <v>1124</v>
      </c>
      <c r="D332" s="478">
        <v>2751</v>
      </c>
      <c r="E332" s="472">
        <v>40392</v>
      </c>
      <c r="F332" s="475" t="s">
        <v>446</v>
      </c>
      <c r="G332" s="476">
        <v>34</v>
      </c>
      <c r="H332" s="475" t="s">
        <v>565</v>
      </c>
      <c r="I332" s="498" t="s">
        <v>1491</v>
      </c>
      <c r="J332" s="499">
        <v>0</v>
      </c>
    </row>
    <row r="333" spans="1:10" ht="20.25" customHeight="1">
      <c r="A333" s="471">
        <v>5111</v>
      </c>
      <c r="B333" s="472" t="s">
        <v>445</v>
      </c>
      <c r="C333" s="473">
        <v>1125</v>
      </c>
      <c r="D333" s="478">
        <v>2751</v>
      </c>
      <c r="E333" s="472">
        <v>40392</v>
      </c>
      <c r="F333" s="475" t="s">
        <v>446</v>
      </c>
      <c r="G333" s="476">
        <v>34</v>
      </c>
      <c r="H333" s="475" t="s">
        <v>565</v>
      </c>
      <c r="I333" s="498" t="s">
        <v>1491</v>
      </c>
      <c r="J333" s="499">
        <f>3300*1.16</f>
        <v>3827.9999999999995</v>
      </c>
    </row>
    <row r="334" spans="1:10" ht="20.25" customHeight="1">
      <c r="A334" s="471">
        <v>5111</v>
      </c>
      <c r="B334" s="472" t="s">
        <v>445</v>
      </c>
      <c r="C334" s="473">
        <v>1126</v>
      </c>
      <c r="D334" s="478">
        <v>2751</v>
      </c>
      <c r="E334" s="472">
        <v>40392</v>
      </c>
      <c r="F334" s="475" t="s">
        <v>446</v>
      </c>
      <c r="G334" s="476">
        <v>34</v>
      </c>
      <c r="H334" s="475" t="s">
        <v>565</v>
      </c>
      <c r="I334" s="498" t="s">
        <v>1491</v>
      </c>
      <c r="J334" s="499">
        <v>0</v>
      </c>
    </row>
    <row r="335" spans="1:10" ht="20.25" customHeight="1">
      <c r="A335" s="471">
        <v>5111</v>
      </c>
      <c r="B335" s="472" t="s">
        <v>445</v>
      </c>
      <c r="C335" s="473">
        <v>1127</v>
      </c>
      <c r="D335" s="478">
        <v>2751</v>
      </c>
      <c r="E335" s="472">
        <v>40392</v>
      </c>
      <c r="F335" s="475" t="s">
        <v>446</v>
      </c>
      <c r="G335" s="476">
        <v>35</v>
      </c>
      <c r="H335" s="475" t="s">
        <v>566</v>
      </c>
      <c r="I335" s="498" t="s">
        <v>567</v>
      </c>
      <c r="J335" s="499">
        <f>157600*1.16</f>
        <v>182816</v>
      </c>
    </row>
    <row r="336" spans="1:10" ht="20.25" customHeight="1">
      <c r="A336" s="471">
        <v>5111</v>
      </c>
      <c r="B336" s="472" t="s">
        <v>445</v>
      </c>
      <c r="C336" s="473">
        <v>1128</v>
      </c>
      <c r="D336" s="478">
        <v>2751</v>
      </c>
      <c r="E336" s="472">
        <v>40392</v>
      </c>
      <c r="F336" s="475" t="s">
        <v>446</v>
      </c>
      <c r="G336" s="476">
        <v>35</v>
      </c>
      <c r="H336" s="475" t="s">
        <v>566</v>
      </c>
      <c r="I336" s="498" t="s">
        <v>567</v>
      </c>
      <c r="J336" s="499">
        <v>0</v>
      </c>
    </row>
    <row r="337" spans="1:10" ht="20.25" customHeight="1">
      <c r="A337" s="471">
        <v>5111</v>
      </c>
      <c r="B337" s="472" t="s">
        <v>445</v>
      </c>
      <c r="C337" s="473">
        <v>1129</v>
      </c>
      <c r="D337" s="478">
        <v>2751</v>
      </c>
      <c r="E337" s="472">
        <v>40392</v>
      </c>
      <c r="F337" s="475" t="s">
        <v>446</v>
      </c>
      <c r="G337" s="476">
        <v>35</v>
      </c>
      <c r="H337" s="475" t="s">
        <v>566</v>
      </c>
      <c r="I337" s="498" t="s">
        <v>567</v>
      </c>
      <c r="J337" s="499">
        <v>0</v>
      </c>
    </row>
    <row r="338" spans="1:10" ht="20.25" customHeight="1">
      <c r="A338" s="471">
        <v>5111</v>
      </c>
      <c r="B338" s="472" t="s">
        <v>445</v>
      </c>
      <c r="C338" s="473">
        <v>1130</v>
      </c>
      <c r="D338" s="478">
        <v>2751</v>
      </c>
      <c r="E338" s="472">
        <v>40392</v>
      </c>
      <c r="F338" s="475" t="s">
        <v>446</v>
      </c>
      <c r="G338" s="476">
        <v>35</v>
      </c>
      <c r="H338" s="475" t="s">
        <v>566</v>
      </c>
      <c r="I338" s="498" t="s">
        <v>567</v>
      </c>
      <c r="J338" s="499">
        <v>0</v>
      </c>
    </row>
    <row r="339" spans="1:10" ht="20.25" customHeight="1">
      <c r="A339" s="471">
        <v>5111</v>
      </c>
      <c r="B339" s="472" t="s">
        <v>445</v>
      </c>
      <c r="C339" s="473">
        <v>1131</v>
      </c>
      <c r="D339" s="478">
        <v>2751</v>
      </c>
      <c r="E339" s="472">
        <v>40392</v>
      </c>
      <c r="F339" s="475" t="s">
        <v>446</v>
      </c>
      <c r="G339" s="476">
        <v>35</v>
      </c>
      <c r="H339" s="475" t="s">
        <v>566</v>
      </c>
      <c r="I339" s="498" t="s">
        <v>567</v>
      </c>
      <c r="J339" s="499">
        <v>0</v>
      </c>
    </row>
    <row r="340" spans="1:10" ht="20.25" customHeight="1">
      <c r="A340" s="471">
        <v>5111</v>
      </c>
      <c r="B340" s="472" t="s">
        <v>445</v>
      </c>
      <c r="C340" s="473">
        <v>1132</v>
      </c>
      <c r="D340" s="478">
        <v>2751</v>
      </c>
      <c r="E340" s="472">
        <v>40392</v>
      </c>
      <c r="F340" s="475" t="s">
        <v>446</v>
      </c>
      <c r="G340" s="476">
        <v>35</v>
      </c>
      <c r="H340" s="475" t="s">
        <v>566</v>
      </c>
      <c r="I340" s="498" t="s">
        <v>567</v>
      </c>
      <c r="J340" s="499">
        <v>0</v>
      </c>
    </row>
    <row r="341" spans="1:10" ht="20.25" customHeight="1">
      <c r="A341" s="471">
        <v>5111</v>
      </c>
      <c r="B341" s="472" t="s">
        <v>445</v>
      </c>
      <c r="C341" s="473">
        <v>1133</v>
      </c>
      <c r="D341" s="478">
        <v>2751</v>
      </c>
      <c r="E341" s="472">
        <v>40392</v>
      </c>
      <c r="F341" s="475" t="s">
        <v>446</v>
      </c>
      <c r="G341" s="476">
        <v>35</v>
      </c>
      <c r="H341" s="475" t="s">
        <v>566</v>
      </c>
      <c r="I341" s="498" t="s">
        <v>567</v>
      </c>
      <c r="J341" s="499">
        <v>0</v>
      </c>
    </row>
    <row r="342" spans="1:10" ht="20.25" customHeight="1">
      <c r="A342" s="471">
        <v>5111</v>
      </c>
      <c r="B342" s="472" t="s">
        <v>445</v>
      </c>
      <c r="C342" s="473">
        <v>1134</v>
      </c>
      <c r="D342" s="478">
        <v>2751</v>
      </c>
      <c r="E342" s="472">
        <v>40392</v>
      </c>
      <c r="F342" s="475" t="s">
        <v>446</v>
      </c>
      <c r="G342" s="476">
        <v>35</v>
      </c>
      <c r="H342" s="475" t="s">
        <v>566</v>
      </c>
      <c r="I342" s="498" t="s">
        <v>567</v>
      </c>
      <c r="J342" s="499">
        <v>0</v>
      </c>
    </row>
    <row r="343" spans="1:10" ht="20.25" customHeight="1">
      <c r="A343" s="471">
        <v>5111</v>
      </c>
      <c r="B343" s="472" t="s">
        <v>445</v>
      </c>
      <c r="C343" s="473">
        <v>1135</v>
      </c>
      <c r="D343" s="478">
        <v>2751</v>
      </c>
      <c r="E343" s="472">
        <v>40392</v>
      </c>
      <c r="F343" s="475" t="s">
        <v>446</v>
      </c>
      <c r="G343" s="476">
        <v>35</v>
      </c>
      <c r="H343" s="475" t="s">
        <v>566</v>
      </c>
      <c r="I343" s="498" t="s">
        <v>567</v>
      </c>
      <c r="J343" s="499">
        <v>0</v>
      </c>
    </row>
    <row r="344" spans="1:10" ht="20.25" customHeight="1">
      <c r="A344" s="471">
        <v>5111</v>
      </c>
      <c r="B344" s="472" t="s">
        <v>445</v>
      </c>
      <c r="C344" s="473">
        <v>1136</v>
      </c>
      <c r="D344" s="478">
        <v>2751</v>
      </c>
      <c r="E344" s="472">
        <v>40392</v>
      </c>
      <c r="F344" s="475" t="s">
        <v>446</v>
      </c>
      <c r="G344" s="476">
        <v>35</v>
      </c>
      <c r="H344" s="475" t="s">
        <v>566</v>
      </c>
      <c r="I344" s="498" t="s">
        <v>568</v>
      </c>
      <c r="J344" s="499">
        <v>0</v>
      </c>
    </row>
    <row r="345" spans="1:10" ht="20.25" customHeight="1">
      <c r="A345" s="471">
        <v>5111</v>
      </c>
      <c r="B345" s="472" t="s">
        <v>445</v>
      </c>
      <c r="C345" s="473">
        <v>1137</v>
      </c>
      <c r="D345" s="478">
        <v>2751</v>
      </c>
      <c r="E345" s="472">
        <v>40392</v>
      </c>
      <c r="F345" s="475" t="s">
        <v>446</v>
      </c>
      <c r="G345" s="476">
        <v>35</v>
      </c>
      <c r="H345" s="475" t="s">
        <v>566</v>
      </c>
      <c r="I345" s="498" t="s">
        <v>568</v>
      </c>
      <c r="J345" s="499">
        <v>0</v>
      </c>
    </row>
    <row r="346" spans="1:10" ht="20.25" customHeight="1">
      <c r="A346" s="471">
        <v>5111</v>
      </c>
      <c r="B346" s="472" t="s">
        <v>445</v>
      </c>
      <c r="C346" s="473">
        <v>1138</v>
      </c>
      <c r="D346" s="478">
        <v>2751</v>
      </c>
      <c r="E346" s="472">
        <v>40392</v>
      </c>
      <c r="F346" s="475" t="s">
        <v>446</v>
      </c>
      <c r="G346" s="476">
        <v>35</v>
      </c>
      <c r="H346" s="475" t="s">
        <v>566</v>
      </c>
      <c r="I346" s="498" t="s">
        <v>568</v>
      </c>
      <c r="J346" s="499">
        <v>0</v>
      </c>
    </row>
    <row r="347" spans="1:10" ht="20.25" customHeight="1">
      <c r="A347" s="471">
        <v>5111</v>
      </c>
      <c r="B347" s="472" t="s">
        <v>445</v>
      </c>
      <c r="C347" s="473">
        <v>1139</v>
      </c>
      <c r="D347" s="478">
        <v>2751</v>
      </c>
      <c r="E347" s="472">
        <v>40392</v>
      </c>
      <c r="F347" s="475" t="s">
        <v>446</v>
      </c>
      <c r="G347" s="476">
        <v>35</v>
      </c>
      <c r="H347" s="475" t="s">
        <v>566</v>
      </c>
      <c r="I347" s="498" t="s">
        <v>568</v>
      </c>
      <c r="J347" s="499">
        <v>0</v>
      </c>
    </row>
    <row r="348" spans="1:10" ht="20.25" customHeight="1">
      <c r="A348" s="471">
        <v>5111</v>
      </c>
      <c r="B348" s="472" t="s">
        <v>445</v>
      </c>
      <c r="C348" s="473">
        <v>1140</v>
      </c>
      <c r="D348" s="478">
        <v>2751</v>
      </c>
      <c r="E348" s="472">
        <v>40392</v>
      </c>
      <c r="F348" s="475" t="s">
        <v>446</v>
      </c>
      <c r="G348" s="476">
        <v>35</v>
      </c>
      <c r="H348" s="475" t="s">
        <v>566</v>
      </c>
      <c r="I348" s="498" t="s">
        <v>567</v>
      </c>
      <c r="J348" s="499">
        <v>0</v>
      </c>
    </row>
    <row r="349" spans="1:10" ht="20.25" customHeight="1">
      <c r="A349" s="471">
        <v>5111</v>
      </c>
      <c r="B349" s="472" t="s">
        <v>445</v>
      </c>
      <c r="C349" s="473">
        <v>1141</v>
      </c>
      <c r="D349" s="478">
        <v>2751</v>
      </c>
      <c r="E349" s="472">
        <v>40392</v>
      </c>
      <c r="F349" s="475" t="s">
        <v>446</v>
      </c>
      <c r="G349" s="476">
        <v>35</v>
      </c>
      <c r="H349" s="475" t="s">
        <v>566</v>
      </c>
      <c r="I349" s="498" t="s">
        <v>567</v>
      </c>
      <c r="J349" s="499">
        <v>0</v>
      </c>
    </row>
    <row r="350" spans="1:10" ht="20.25" customHeight="1">
      <c r="A350" s="471">
        <v>5111</v>
      </c>
      <c r="B350" s="472" t="s">
        <v>445</v>
      </c>
      <c r="C350" s="473">
        <v>1142</v>
      </c>
      <c r="D350" s="478">
        <v>2751</v>
      </c>
      <c r="E350" s="472">
        <v>40392</v>
      </c>
      <c r="F350" s="475" t="s">
        <v>446</v>
      </c>
      <c r="G350" s="476">
        <v>35</v>
      </c>
      <c r="H350" s="475" t="s">
        <v>566</v>
      </c>
      <c r="I350" s="498" t="s">
        <v>568</v>
      </c>
      <c r="J350" s="499">
        <v>0</v>
      </c>
    </row>
    <row r="351" spans="1:10" ht="20.25" customHeight="1">
      <c r="A351" s="471">
        <v>5111</v>
      </c>
      <c r="B351" s="472" t="s">
        <v>445</v>
      </c>
      <c r="C351" s="473">
        <v>1143</v>
      </c>
      <c r="D351" s="478">
        <v>2751</v>
      </c>
      <c r="E351" s="472">
        <v>40392</v>
      </c>
      <c r="F351" s="475" t="s">
        <v>446</v>
      </c>
      <c r="G351" s="476">
        <v>35</v>
      </c>
      <c r="H351" s="475" t="s">
        <v>566</v>
      </c>
      <c r="I351" s="498" t="s">
        <v>568</v>
      </c>
      <c r="J351" s="499">
        <v>0</v>
      </c>
    </row>
    <row r="352" spans="1:10" ht="20.25" customHeight="1">
      <c r="A352" s="471">
        <v>5111</v>
      </c>
      <c r="B352" s="472" t="s">
        <v>445</v>
      </c>
      <c r="C352" s="473">
        <v>1144</v>
      </c>
      <c r="D352" s="478">
        <v>2751</v>
      </c>
      <c r="E352" s="472">
        <v>40392</v>
      </c>
      <c r="F352" s="475" t="s">
        <v>446</v>
      </c>
      <c r="G352" s="476">
        <v>35</v>
      </c>
      <c r="H352" s="475" t="s">
        <v>566</v>
      </c>
      <c r="I352" s="498" t="s">
        <v>567</v>
      </c>
      <c r="J352" s="499">
        <v>0</v>
      </c>
    </row>
    <row r="353" spans="1:10" ht="20.25" customHeight="1">
      <c r="A353" s="471">
        <v>5111</v>
      </c>
      <c r="B353" s="472" t="s">
        <v>445</v>
      </c>
      <c r="C353" s="473">
        <v>1145</v>
      </c>
      <c r="D353" s="478">
        <v>2751</v>
      </c>
      <c r="E353" s="472">
        <v>40392</v>
      </c>
      <c r="F353" s="475" t="s">
        <v>446</v>
      </c>
      <c r="G353" s="476">
        <v>35</v>
      </c>
      <c r="H353" s="475" t="s">
        <v>566</v>
      </c>
      <c r="I353" s="498" t="s">
        <v>567</v>
      </c>
      <c r="J353" s="499">
        <v>0</v>
      </c>
    </row>
    <row r="354" spans="1:10" ht="20.25" customHeight="1">
      <c r="A354" s="471">
        <v>5111</v>
      </c>
      <c r="B354" s="472" t="s">
        <v>445</v>
      </c>
      <c r="C354" s="473">
        <v>1146</v>
      </c>
      <c r="D354" s="478">
        <v>2751</v>
      </c>
      <c r="E354" s="472">
        <v>40392</v>
      </c>
      <c r="F354" s="475" t="s">
        <v>446</v>
      </c>
      <c r="G354" s="476">
        <v>35</v>
      </c>
      <c r="H354" s="475" t="s">
        <v>566</v>
      </c>
      <c r="I354" s="498" t="s">
        <v>568</v>
      </c>
      <c r="J354" s="499">
        <v>0</v>
      </c>
    </row>
    <row r="355" spans="1:10" ht="20.25" customHeight="1">
      <c r="A355" s="471">
        <v>5111</v>
      </c>
      <c r="B355" s="472" t="s">
        <v>445</v>
      </c>
      <c r="C355" s="473">
        <v>1147</v>
      </c>
      <c r="D355" s="478">
        <v>2751</v>
      </c>
      <c r="E355" s="472">
        <v>40392</v>
      </c>
      <c r="F355" s="475" t="s">
        <v>446</v>
      </c>
      <c r="G355" s="476">
        <v>35</v>
      </c>
      <c r="H355" s="475" t="s">
        <v>566</v>
      </c>
      <c r="I355" s="498" t="s">
        <v>567</v>
      </c>
      <c r="J355" s="499">
        <v>0</v>
      </c>
    </row>
    <row r="356" spans="1:10" ht="20.25" customHeight="1">
      <c r="A356" s="471">
        <v>5111</v>
      </c>
      <c r="B356" s="472" t="s">
        <v>445</v>
      </c>
      <c r="C356" s="473">
        <v>1148</v>
      </c>
      <c r="D356" s="478">
        <v>2751</v>
      </c>
      <c r="E356" s="472">
        <v>40392</v>
      </c>
      <c r="F356" s="475" t="s">
        <v>446</v>
      </c>
      <c r="G356" s="476">
        <v>35</v>
      </c>
      <c r="H356" s="475" t="s">
        <v>566</v>
      </c>
      <c r="I356" s="498" t="s">
        <v>567</v>
      </c>
      <c r="J356" s="499">
        <v>0</v>
      </c>
    </row>
    <row r="357" spans="1:10" ht="20.25" customHeight="1">
      <c r="A357" s="471">
        <v>5111</v>
      </c>
      <c r="B357" s="472" t="s">
        <v>445</v>
      </c>
      <c r="C357" s="473">
        <v>1149</v>
      </c>
      <c r="D357" s="478">
        <v>2751</v>
      </c>
      <c r="E357" s="472">
        <v>40392</v>
      </c>
      <c r="F357" s="475" t="s">
        <v>446</v>
      </c>
      <c r="G357" s="476">
        <v>35</v>
      </c>
      <c r="H357" s="475" t="s">
        <v>566</v>
      </c>
      <c r="I357" s="498" t="s">
        <v>567</v>
      </c>
      <c r="J357" s="499">
        <v>0</v>
      </c>
    </row>
    <row r="358" spans="1:10" ht="20.25" customHeight="1">
      <c r="A358" s="471">
        <v>5111</v>
      </c>
      <c r="B358" s="472" t="s">
        <v>445</v>
      </c>
      <c r="C358" s="473">
        <v>1150</v>
      </c>
      <c r="D358" s="478">
        <v>2751</v>
      </c>
      <c r="E358" s="472">
        <v>40392</v>
      </c>
      <c r="F358" s="475" t="s">
        <v>446</v>
      </c>
      <c r="G358" s="476">
        <v>35</v>
      </c>
      <c r="H358" s="475" t="s">
        <v>566</v>
      </c>
      <c r="I358" s="498" t="s">
        <v>567</v>
      </c>
      <c r="J358" s="499">
        <v>0</v>
      </c>
    </row>
    <row r="359" spans="1:10" ht="20.25" customHeight="1">
      <c r="A359" s="471">
        <v>5111</v>
      </c>
      <c r="B359" s="472" t="s">
        <v>445</v>
      </c>
      <c r="C359" s="473">
        <v>1151</v>
      </c>
      <c r="D359" s="478">
        <v>2751</v>
      </c>
      <c r="E359" s="472">
        <v>40392</v>
      </c>
      <c r="F359" s="475" t="s">
        <v>446</v>
      </c>
      <c r="G359" s="476">
        <v>35</v>
      </c>
      <c r="H359" s="475" t="s">
        <v>566</v>
      </c>
      <c r="I359" s="498" t="s">
        <v>568</v>
      </c>
      <c r="J359" s="499">
        <v>0</v>
      </c>
    </row>
    <row r="360" spans="1:10" ht="20.25" customHeight="1">
      <c r="A360" s="471">
        <v>5111</v>
      </c>
      <c r="B360" s="472" t="s">
        <v>445</v>
      </c>
      <c r="C360" s="473">
        <v>1152</v>
      </c>
      <c r="D360" s="478">
        <v>2751</v>
      </c>
      <c r="E360" s="472">
        <v>40392</v>
      </c>
      <c r="F360" s="475" t="s">
        <v>446</v>
      </c>
      <c r="G360" s="476">
        <v>35</v>
      </c>
      <c r="H360" s="475" t="s">
        <v>566</v>
      </c>
      <c r="I360" s="498" t="s">
        <v>568</v>
      </c>
      <c r="J360" s="499">
        <v>0</v>
      </c>
    </row>
    <row r="361" spans="1:10" ht="20.25" customHeight="1">
      <c r="A361" s="471">
        <v>5111</v>
      </c>
      <c r="B361" s="472" t="s">
        <v>445</v>
      </c>
      <c r="C361" s="473">
        <v>1153</v>
      </c>
      <c r="D361" s="478">
        <v>2751</v>
      </c>
      <c r="E361" s="472">
        <v>40392</v>
      </c>
      <c r="F361" s="475" t="s">
        <v>446</v>
      </c>
      <c r="G361" s="476">
        <v>35</v>
      </c>
      <c r="H361" s="475" t="s">
        <v>566</v>
      </c>
      <c r="I361" s="498" t="s">
        <v>567</v>
      </c>
      <c r="J361" s="499">
        <v>0</v>
      </c>
    </row>
    <row r="362" spans="1:10" ht="20.25" customHeight="1">
      <c r="A362" s="471">
        <v>5111</v>
      </c>
      <c r="B362" s="472" t="s">
        <v>445</v>
      </c>
      <c r="C362" s="473">
        <v>1154</v>
      </c>
      <c r="D362" s="478">
        <v>2751</v>
      </c>
      <c r="E362" s="472">
        <v>40392</v>
      </c>
      <c r="F362" s="475" t="s">
        <v>446</v>
      </c>
      <c r="G362" s="476">
        <v>35</v>
      </c>
      <c r="H362" s="475" t="s">
        <v>566</v>
      </c>
      <c r="I362" s="498" t="s">
        <v>567</v>
      </c>
      <c r="J362" s="499">
        <v>0</v>
      </c>
    </row>
    <row r="363" spans="1:10" ht="20.25" customHeight="1">
      <c r="A363" s="471">
        <v>5111</v>
      </c>
      <c r="B363" s="472" t="s">
        <v>445</v>
      </c>
      <c r="C363" s="473">
        <v>1155</v>
      </c>
      <c r="D363" s="478">
        <v>2751</v>
      </c>
      <c r="E363" s="472">
        <v>40392</v>
      </c>
      <c r="F363" s="475" t="s">
        <v>446</v>
      </c>
      <c r="G363" s="476">
        <v>35</v>
      </c>
      <c r="H363" s="475" t="s">
        <v>566</v>
      </c>
      <c r="I363" s="498" t="s">
        <v>568</v>
      </c>
      <c r="J363" s="499">
        <v>0</v>
      </c>
    </row>
    <row r="364" spans="1:10" ht="20.25" customHeight="1">
      <c r="A364" s="471">
        <v>5111</v>
      </c>
      <c r="B364" s="472" t="s">
        <v>445</v>
      </c>
      <c r="C364" s="473">
        <v>1156</v>
      </c>
      <c r="D364" s="478">
        <v>2751</v>
      </c>
      <c r="E364" s="472">
        <v>40392</v>
      </c>
      <c r="F364" s="475" t="s">
        <v>446</v>
      </c>
      <c r="G364" s="476">
        <v>35</v>
      </c>
      <c r="H364" s="475" t="s">
        <v>566</v>
      </c>
      <c r="I364" s="498" t="s">
        <v>567</v>
      </c>
      <c r="J364" s="499">
        <v>0</v>
      </c>
    </row>
    <row r="365" spans="1:10" ht="20.25" customHeight="1">
      <c r="A365" s="471">
        <v>5111</v>
      </c>
      <c r="B365" s="472" t="s">
        <v>445</v>
      </c>
      <c r="C365" s="473">
        <v>1157</v>
      </c>
      <c r="D365" s="478">
        <v>2751</v>
      </c>
      <c r="E365" s="472">
        <v>40392</v>
      </c>
      <c r="F365" s="475" t="s">
        <v>446</v>
      </c>
      <c r="G365" s="476">
        <v>35</v>
      </c>
      <c r="H365" s="475" t="s">
        <v>566</v>
      </c>
      <c r="I365" s="498" t="s">
        <v>568</v>
      </c>
      <c r="J365" s="499">
        <v>0</v>
      </c>
    </row>
    <row r="366" spans="1:10" ht="20.25" customHeight="1">
      <c r="A366" s="471">
        <v>5111</v>
      </c>
      <c r="B366" s="472" t="s">
        <v>445</v>
      </c>
      <c r="C366" s="473">
        <v>1158</v>
      </c>
      <c r="D366" s="478">
        <v>2751</v>
      </c>
      <c r="E366" s="472">
        <v>40392</v>
      </c>
      <c r="F366" s="475" t="s">
        <v>446</v>
      </c>
      <c r="G366" s="476">
        <v>35</v>
      </c>
      <c r="H366" s="475" t="s">
        <v>566</v>
      </c>
      <c r="I366" s="498" t="s">
        <v>567</v>
      </c>
      <c r="J366" s="499">
        <v>0</v>
      </c>
    </row>
    <row r="367" spans="1:10" ht="20.25" customHeight="1">
      <c r="A367" s="471">
        <v>5111</v>
      </c>
      <c r="B367" s="472" t="s">
        <v>445</v>
      </c>
      <c r="C367" s="473">
        <v>1159</v>
      </c>
      <c r="D367" s="478">
        <v>2751</v>
      </c>
      <c r="E367" s="472">
        <v>40392</v>
      </c>
      <c r="F367" s="475" t="s">
        <v>446</v>
      </c>
      <c r="G367" s="476">
        <v>35</v>
      </c>
      <c r="H367" s="475" t="s">
        <v>566</v>
      </c>
      <c r="I367" s="498" t="s">
        <v>568</v>
      </c>
      <c r="J367" s="499">
        <v>0</v>
      </c>
    </row>
    <row r="368" spans="1:10" ht="20.25" customHeight="1">
      <c r="A368" s="471">
        <v>5111</v>
      </c>
      <c r="B368" s="472" t="s">
        <v>445</v>
      </c>
      <c r="C368" s="473">
        <v>1160</v>
      </c>
      <c r="D368" s="478">
        <v>2751</v>
      </c>
      <c r="E368" s="472">
        <v>40392</v>
      </c>
      <c r="F368" s="475" t="s">
        <v>446</v>
      </c>
      <c r="G368" s="476">
        <v>35</v>
      </c>
      <c r="H368" s="475" t="s">
        <v>566</v>
      </c>
      <c r="I368" s="498" t="s">
        <v>567</v>
      </c>
      <c r="J368" s="499">
        <v>0</v>
      </c>
    </row>
    <row r="369" spans="1:10" ht="20.25" customHeight="1">
      <c r="A369" s="471">
        <v>5111</v>
      </c>
      <c r="B369" s="472" t="s">
        <v>445</v>
      </c>
      <c r="C369" s="473">
        <v>1161</v>
      </c>
      <c r="D369" s="478">
        <v>2751</v>
      </c>
      <c r="E369" s="472">
        <v>40392</v>
      </c>
      <c r="F369" s="475" t="s">
        <v>446</v>
      </c>
      <c r="G369" s="476">
        <v>35</v>
      </c>
      <c r="H369" s="475" t="s">
        <v>566</v>
      </c>
      <c r="I369" s="498" t="s">
        <v>567</v>
      </c>
      <c r="J369" s="499">
        <v>0</v>
      </c>
    </row>
    <row r="370" spans="1:10" ht="20.25" customHeight="1">
      <c r="A370" s="471">
        <v>5111</v>
      </c>
      <c r="B370" s="472" t="s">
        <v>445</v>
      </c>
      <c r="C370" s="473">
        <v>1162</v>
      </c>
      <c r="D370" s="478">
        <v>2751</v>
      </c>
      <c r="E370" s="472">
        <v>40392</v>
      </c>
      <c r="F370" s="475" t="s">
        <v>446</v>
      </c>
      <c r="G370" s="476">
        <v>35</v>
      </c>
      <c r="H370" s="475" t="s">
        <v>566</v>
      </c>
      <c r="I370" s="498" t="s">
        <v>567</v>
      </c>
      <c r="J370" s="499">
        <v>0</v>
      </c>
    </row>
    <row r="371" spans="1:10" ht="20.25" customHeight="1">
      <c r="A371" s="471">
        <v>5111</v>
      </c>
      <c r="B371" s="472" t="s">
        <v>445</v>
      </c>
      <c r="C371" s="473">
        <v>1163</v>
      </c>
      <c r="D371" s="478">
        <v>2751</v>
      </c>
      <c r="E371" s="472">
        <v>40392</v>
      </c>
      <c r="F371" s="475" t="s">
        <v>446</v>
      </c>
      <c r="G371" s="476">
        <v>35</v>
      </c>
      <c r="H371" s="475" t="s">
        <v>566</v>
      </c>
      <c r="I371" s="498" t="s">
        <v>567</v>
      </c>
      <c r="J371" s="499">
        <v>0</v>
      </c>
    </row>
    <row r="372" spans="1:10" ht="20.25" customHeight="1">
      <c r="A372" s="471">
        <v>5111</v>
      </c>
      <c r="B372" s="472" t="s">
        <v>445</v>
      </c>
      <c r="C372" s="473">
        <v>1164</v>
      </c>
      <c r="D372" s="478">
        <v>2751</v>
      </c>
      <c r="E372" s="472">
        <v>40392</v>
      </c>
      <c r="F372" s="475" t="s">
        <v>446</v>
      </c>
      <c r="G372" s="476">
        <v>35</v>
      </c>
      <c r="H372" s="475" t="s">
        <v>566</v>
      </c>
      <c r="I372" s="498" t="s">
        <v>567</v>
      </c>
      <c r="J372" s="499">
        <v>0</v>
      </c>
    </row>
    <row r="373" spans="1:10" ht="20.25" customHeight="1">
      <c r="A373" s="471">
        <v>5111</v>
      </c>
      <c r="B373" s="472" t="s">
        <v>445</v>
      </c>
      <c r="C373" s="473">
        <v>1165</v>
      </c>
      <c r="D373" s="478">
        <v>2751</v>
      </c>
      <c r="E373" s="472">
        <v>40392</v>
      </c>
      <c r="F373" s="475" t="s">
        <v>446</v>
      </c>
      <c r="G373" s="476">
        <v>35</v>
      </c>
      <c r="H373" s="475" t="s">
        <v>566</v>
      </c>
      <c r="I373" s="498" t="s">
        <v>567</v>
      </c>
      <c r="J373" s="499">
        <v>0</v>
      </c>
    </row>
    <row r="374" spans="1:10" ht="20.25" customHeight="1">
      <c r="A374" s="471">
        <v>5111</v>
      </c>
      <c r="B374" s="472" t="s">
        <v>445</v>
      </c>
      <c r="C374" s="473">
        <v>1166</v>
      </c>
      <c r="D374" s="478">
        <v>2751</v>
      </c>
      <c r="E374" s="472">
        <v>40392</v>
      </c>
      <c r="F374" s="475" t="s">
        <v>446</v>
      </c>
      <c r="G374" s="476">
        <v>35</v>
      </c>
      <c r="H374" s="475" t="s">
        <v>566</v>
      </c>
      <c r="I374" s="498" t="s">
        <v>567</v>
      </c>
      <c r="J374" s="499">
        <v>0</v>
      </c>
    </row>
    <row r="375" spans="1:10" ht="20.25" customHeight="1">
      <c r="A375" s="471">
        <v>5111</v>
      </c>
      <c r="B375" s="472" t="s">
        <v>445</v>
      </c>
      <c r="C375" s="473">
        <v>1167</v>
      </c>
      <c r="D375" s="478">
        <v>2751</v>
      </c>
      <c r="E375" s="472">
        <v>40392</v>
      </c>
      <c r="F375" s="475" t="s">
        <v>446</v>
      </c>
      <c r="G375" s="476">
        <v>36</v>
      </c>
      <c r="H375" s="475" t="s">
        <v>569</v>
      </c>
      <c r="I375" s="498" t="s">
        <v>570</v>
      </c>
      <c r="J375" s="499">
        <f>1630*1.16</f>
        <v>1890.8</v>
      </c>
    </row>
    <row r="376" spans="1:10" ht="20.25" customHeight="1">
      <c r="A376" s="471">
        <v>5111</v>
      </c>
      <c r="B376" s="472" t="s">
        <v>445</v>
      </c>
      <c r="C376" s="473">
        <v>1168</v>
      </c>
      <c r="D376" s="478">
        <v>2751</v>
      </c>
      <c r="E376" s="472">
        <v>40392</v>
      </c>
      <c r="F376" s="475" t="s">
        <v>446</v>
      </c>
      <c r="G376" s="476">
        <v>36</v>
      </c>
      <c r="H376" s="475" t="s">
        <v>569</v>
      </c>
      <c r="I376" s="498" t="s">
        <v>570</v>
      </c>
      <c r="J376" s="499">
        <f>1630*1.16</f>
        <v>1890.8</v>
      </c>
    </row>
    <row r="377" spans="1:10" ht="20.25" customHeight="1">
      <c r="A377" s="471">
        <v>5111</v>
      </c>
      <c r="B377" s="472" t="s">
        <v>445</v>
      </c>
      <c r="C377" s="473">
        <v>1169</v>
      </c>
      <c r="D377" s="478">
        <v>2751</v>
      </c>
      <c r="E377" s="472">
        <v>40392</v>
      </c>
      <c r="F377" s="475" t="s">
        <v>446</v>
      </c>
      <c r="G377" s="476">
        <v>36</v>
      </c>
      <c r="H377" s="475" t="s">
        <v>569</v>
      </c>
      <c r="I377" s="498" t="s">
        <v>570</v>
      </c>
      <c r="J377" s="499">
        <f>1630*1.16</f>
        <v>1890.8</v>
      </c>
    </row>
    <row r="378" spans="1:10" ht="20.25" customHeight="1">
      <c r="A378" s="471">
        <v>5111</v>
      </c>
      <c r="B378" s="472" t="s">
        <v>445</v>
      </c>
      <c r="C378" s="473">
        <v>1170</v>
      </c>
      <c r="D378" s="478">
        <v>2751</v>
      </c>
      <c r="E378" s="472">
        <v>40392</v>
      </c>
      <c r="F378" s="475" t="s">
        <v>446</v>
      </c>
      <c r="G378" s="476">
        <v>36</v>
      </c>
      <c r="H378" s="475" t="s">
        <v>569</v>
      </c>
      <c r="I378" s="498" t="s">
        <v>570</v>
      </c>
      <c r="J378" s="499">
        <f>1630*1.16</f>
        <v>1890.8</v>
      </c>
    </row>
    <row r="379" spans="1:10" ht="20.25" customHeight="1">
      <c r="A379" s="471">
        <v>5111</v>
      </c>
      <c r="B379" s="472" t="s">
        <v>445</v>
      </c>
      <c r="C379" s="473">
        <v>1171</v>
      </c>
      <c r="D379" s="478">
        <v>2751</v>
      </c>
      <c r="E379" s="472">
        <v>40392</v>
      </c>
      <c r="F379" s="475" t="s">
        <v>446</v>
      </c>
      <c r="G379" s="476">
        <v>36</v>
      </c>
      <c r="H379" s="475" t="s">
        <v>569</v>
      </c>
      <c r="I379" s="498" t="s">
        <v>570</v>
      </c>
      <c r="J379" s="499">
        <f>1630*1.16</f>
        <v>1890.8</v>
      </c>
    </row>
    <row r="380" spans="1:10" ht="20.25" customHeight="1">
      <c r="A380" s="471">
        <v>5111</v>
      </c>
      <c r="B380" s="472" t="s">
        <v>445</v>
      </c>
      <c r="C380" s="473">
        <v>1172</v>
      </c>
      <c r="D380" s="478">
        <v>2751</v>
      </c>
      <c r="E380" s="472">
        <v>40392</v>
      </c>
      <c r="F380" s="475" t="s">
        <v>446</v>
      </c>
      <c r="G380" s="476">
        <v>37</v>
      </c>
      <c r="H380" s="475" t="s">
        <v>571</v>
      </c>
      <c r="I380" s="498" t="s">
        <v>572</v>
      </c>
      <c r="J380" s="499">
        <f t="shared" ref="J380:J385" si="12">2737*1.16</f>
        <v>3174.9199999999996</v>
      </c>
    </row>
    <row r="381" spans="1:10" ht="20.25" customHeight="1">
      <c r="A381" s="471">
        <v>5111</v>
      </c>
      <c r="B381" s="472" t="s">
        <v>445</v>
      </c>
      <c r="C381" s="473">
        <v>1173</v>
      </c>
      <c r="D381" s="478">
        <v>2751</v>
      </c>
      <c r="E381" s="472">
        <v>40392</v>
      </c>
      <c r="F381" s="475" t="s">
        <v>446</v>
      </c>
      <c r="G381" s="476">
        <v>37</v>
      </c>
      <c r="H381" s="475" t="s">
        <v>571</v>
      </c>
      <c r="I381" s="498" t="s">
        <v>572</v>
      </c>
      <c r="J381" s="499">
        <f t="shared" si="12"/>
        <v>3174.9199999999996</v>
      </c>
    </row>
    <row r="382" spans="1:10" ht="20.25" customHeight="1">
      <c r="A382" s="471">
        <v>5111</v>
      </c>
      <c r="B382" s="472" t="s">
        <v>445</v>
      </c>
      <c r="C382" s="473">
        <v>1174</v>
      </c>
      <c r="D382" s="478">
        <v>2751</v>
      </c>
      <c r="E382" s="472">
        <v>40392</v>
      </c>
      <c r="F382" s="475" t="s">
        <v>446</v>
      </c>
      <c r="G382" s="476">
        <v>37</v>
      </c>
      <c r="H382" s="475" t="s">
        <v>571</v>
      </c>
      <c r="I382" s="498" t="s">
        <v>572</v>
      </c>
      <c r="J382" s="499">
        <f t="shared" si="12"/>
        <v>3174.9199999999996</v>
      </c>
    </row>
    <row r="383" spans="1:10" ht="20.25" customHeight="1">
      <c r="A383" s="471">
        <v>5111</v>
      </c>
      <c r="B383" s="472" t="s">
        <v>445</v>
      </c>
      <c r="C383" s="473">
        <v>1175</v>
      </c>
      <c r="D383" s="478">
        <v>2751</v>
      </c>
      <c r="E383" s="472">
        <v>40392</v>
      </c>
      <c r="F383" s="475" t="s">
        <v>446</v>
      </c>
      <c r="G383" s="476">
        <v>37</v>
      </c>
      <c r="H383" s="475" t="s">
        <v>571</v>
      </c>
      <c r="I383" s="498" t="s">
        <v>572</v>
      </c>
      <c r="J383" s="499">
        <f t="shared" si="12"/>
        <v>3174.9199999999996</v>
      </c>
    </row>
    <row r="384" spans="1:10" ht="20.25" customHeight="1">
      <c r="A384" s="471">
        <v>5111</v>
      </c>
      <c r="B384" s="472" t="s">
        <v>445</v>
      </c>
      <c r="C384" s="473">
        <v>1176</v>
      </c>
      <c r="D384" s="478">
        <v>2751</v>
      </c>
      <c r="E384" s="472">
        <v>40392</v>
      </c>
      <c r="F384" s="475" t="s">
        <v>446</v>
      </c>
      <c r="G384" s="476">
        <v>37</v>
      </c>
      <c r="H384" s="475" t="s">
        <v>571</v>
      </c>
      <c r="I384" s="498" t="s">
        <v>572</v>
      </c>
      <c r="J384" s="499">
        <f t="shared" si="12"/>
        <v>3174.9199999999996</v>
      </c>
    </row>
    <row r="385" spans="1:10" ht="20.25" customHeight="1">
      <c r="A385" s="471">
        <v>5111</v>
      </c>
      <c r="B385" s="472" t="s">
        <v>445</v>
      </c>
      <c r="C385" s="473">
        <v>1177</v>
      </c>
      <c r="D385" s="478">
        <v>2751</v>
      </c>
      <c r="E385" s="472">
        <v>40392</v>
      </c>
      <c r="F385" s="475" t="s">
        <v>446</v>
      </c>
      <c r="G385" s="476">
        <v>37</v>
      </c>
      <c r="H385" s="475" t="s">
        <v>571</v>
      </c>
      <c r="I385" s="498" t="s">
        <v>572</v>
      </c>
      <c r="J385" s="499">
        <f t="shared" si="12"/>
        <v>3174.9199999999996</v>
      </c>
    </row>
    <row r="386" spans="1:10" ht="20.25" customHeight="1">
      <c r="A386" s="471">
        <v>5111</v>
      </c>
      <c r="B386" s="472" t="s">
        <v>445</v>
      </c>
      <c r="C386" s="473">
        <v>1178</v>
      </c>
      <c r="D386" s="478">
        <v>2751</v>
      </c>
      <c r="E386" s="472">
        <v>40392</v>
      </c>
      <c r="F386" s="475" t="s">
        <v>446</v>
      </c>
      <c r="G386" s="476">
        <v>38</v>
      </c>
      <c r="H386" s="475" t="s">
        <v>573</v>
      </c>
      <c r="I386" s="498" t="s">
        <v>520</v>
      </c>
      <c r="J386" s="499">
        <f>3650*1.16</f>
        <v>4234</v>
      </c>
    </row>
    <row r="387" spans="1:10" ht="20.25" customHeight="1">
      <c r="A387" s="471">
        <v>5111</v>
      </c>
      <c r="B387" s="472" t="s">
        <v>445</v>
      </c>
      <c r="C387" s="473">
        <v>1179</v>
      </c>
      <c r="D387" s="478">
        <v>2751</v>
      </c>
      <c r="E387" s="472">
        <v>40392</v>
      </c>
      <c r="F387" s="475" t="s">
        <v>446</v>
      </c>
      <c r="G387" s="476">
        <v>38</v>
      </c>
      <c r="H387" s="475" t="s">
        <v>573</v>
      </c>
      <c r="I387" s="498" t="s">
        <v>520</v>
      </c>
      <c r="J387" s="499">
        <f>3650*1.16</f>
        <v>4234</v>
      </c>
    </row>
    <row r="388" spans="1:10" ht="20.25" customHeight="1">
      <c r="A388" s="471">
        <v>5111</v>
      </c>
      <c r="B388" s="472" t="s">
        <v>445</v>
      </c>
      <c r="C388" s="473">
        <v>1180</v>
      </c>
      <c r="D388" s="478">
        <v>2751</v>
      </c>
      <c r="E388" s="472">
        <v>40392</v>
      </c>
      <c r="F388" s="475" t="s">
        <v>446</v>
      </c>
      <c r="G388" s="476">
        <v>39</v>
      </c>
      <c r="H388" s="475" t="s">
        <v>574</v>
      </c>
      <c r="I388" s="498" t="s">
        <v>575</v>
      </c>
      <c r="J388" s="499">
        <f>1520*1.16</f>
        <v>1763.1999999999998</v>
      </c>
    </row>
    <row r="389" spans="1:10" ht="20.25" customHeight="1">
      <c r="A389" s="471">
        <v>5111</v>
      </c>
      <c r="B389" s="472" t="s">
        <v>445</v>
      </c>
      <c r="C389" s="473">
        <v>1181</v>
      </c>
      <c r="D389" s="478">
        <v>2751</v>
      </c>
      <c r="E389" s="472">
        <v>40392</v>
      </c>
      <c r="F389" s="475" t="s">
        <v>446</v>
      </c>
      <c r="G389" s="476">
        <v>39</v>
      </c>
      <c r="H389" s="475" t="s">
        <v>574</v>
      </c>
      <c r="I389" s="498" t="s">
        <v>575</v>
      </c>
      <c r="J389" s="499">
        <f>1520*1.16</f>
        <v>1763.1999999999998</v>
      </c>
    </row>
    <row r="390" spans="1:10" ht="20.25" customHeight="1">
      <c r="A390" s="471">
        <v>5111</v>
      </c>
      <c r="B390" s="472" t="s">
        <v>445</v>
      </c>
      <c r="C390" s="473">
        <v>1182</v>
      </c>
      <c r="D390" s="478">
        <v>2751</v>
      </c>
      <c r="E390" s="472">
        <v>40392</v>
      </c>
      <c r="F390" s="475" t="s">
        <v>446</v>
      </c>
      <c r="G390" s="476">
        <v>39</v>
      </c>
      <c r="H390" s="475" t="s">
        <v>574</v>
      </c>
      <c r="I390" s="498" t="s">
        <v>575</v>
      </c>
      <c r="J390" s="499">
        <f>1520*1.16</f>
        <v>1763.1999999999998</v>
      </c>
    </row>
    <row r="391" spans="1:10" ht="20.25" customHeight="1">
      <c r="A391" s="471">
        <v>5111</v>
      </c>
      <c r="B391" s="472" t="s">
        <v>445</v>
      </c>
      <c r="C391" s="473">
        <v>1183</v>
      </c>
      <c r="D391" s="478">
        <v>2751</v>
      </c>
      <c r="E391" s="472">
        <v>40392</v>
      </c>
      <c r="F391" s="475" t="s">
        <v>446</v>
      </c>
      <c r="G391" s="476">
        <v>39</v>
      </c>
      <c r="H391" s="475" t="s">
        <v>574</v>
      </c>
      <c r="I391" s="498" t="s">
        <v>575</v>
      </c>
      <c r="J391" s="499">
        <f>1520*1.16</f>
        <v>1763.1999999999998</v>
      </c>
    </row>
    <row r="392" spans="1:10" ht="20.25" customHeight="1">
      <c r="A392" s="471">
        <v>5111</v>
      </c>
      <c r="B392" s="472" t="s">
        <v>445</v>
      </c>
      <c r="C392" s="473">
        <v>1184</v>
      </c>
      <c r="D392" s="478">
        <v>2751</v>
      </c>
      <c r="E392" s="472">
        <v>40392</v>
      </c>
      <c r="F392" s="475" t="s">
        <v>446</v>
      </c>
      <c r="G392" s="476">
        <v>40</v>
      </c>
      <c r="H392" s="475" t="s">
        <v>576</v>
      </c>
      <c r="I392" s="498" t="s">
        <v>519</v>
      </c>
      <c r="J392" s="499">
        <f>3650*1.16</f>
        <v>4234</v>
      </c>
    </row>
    <row r="393" spans="1:10" ht="20.25" customHeight="1">
      <c r="A393" s="471">
        <v>5111</v>
      </c>
      <c r="B393" s="472" t="s">
        <v>445</v>
      </c>
      <c r="C393" s="473">
        <v>1194</v>
      </c>
      <c r="D393" s="471" t="s">
        <v>577</v>
      </c>
      <c r="E393" s="472">
        <v>40403</v>
      </c>
      <c r="F393" s="475" t="s">
        <v>446</v>
      </c>
      <c r="G393" s="476">
        <v>41</v>
      </c>
      <c r="H393" s="475" t="s">
        <v>578</v>
      </c>
      <c r="I393" s="498" t="s">
        <v>579</v>
      </c>
      <c r="J393" s="499">
        <f t="shared" ref="J393:J456" si="13">798*1.16</f>
        <v>925.68</v>
      </c>
    </row>
    <row r="394" spans="1:10" ht="20.25" customHeight="1">
      <c r="A394" s="471">
        <v>5111</v>
      </c>
      <c r="B394" s="472" t="s">
        <v>445</v>
      </c>
      <c r="C394" s="473">
        <v>1195</v>
      </c>
      <c r="D394" s="471" t="s">
        <v>577</v>
      </c>
      <c r="E394" s="472">
        <v>40403</v>
      </c>
      <c r="F394" s="475" t="s">
        <v>446</v>
      </c>
      <c r="G394" s="476">
        <v>41</v>
      </c>
      <c r="H394" s="475" t="s">
        <v>578</v>
      </c>
      <c r="I394" s="498" t="s">
        <v>579</v>
      </c>
      <c r="J394" s="499">
        <f t="shared" si="13"/>
        <v>925.68</v>
      </c>
    </row>
    <row r="395" spans="1:10" ht="20.25" customHeight="1">
      <c r="A395" s="471">
        <v>5111</v>
      </c>
      <c r="B395" s="472" t="s">
        <v>445</v>
      </c>
      <c r="C395" s="473">
        <v>1196</v>
      </c>
      <c r="D395" s="471" t="s">
        <v>577</v>
      </c>
      <c r="E395" s="472">
        <v>40403</v>
      </c>
      <c r="F395" s="475" t="s">
        <v>446</v>
      </c>
      <c r="G395" s="476">
        <v>41</v>
      </c>
      <c r="H395" s="475" t="s">
        <v>578</v>
      </c>
      <c r="I395" s="498" t="s">
        <v>579</v>
      </c>
      <c r="J395" s="499">
        <f t="shared" si="13"/>
        <v>925.68</v>
      </c>
    </row>
    <row r="396" spans="1:10" ht="20.25" customHeight="1">
      <c r="A396" s="471">
        <v>5111</v>
      </c>
      <c r="B396" s="472" t="s">
        <v>445</v>
      </c>
      <c r="C396" s="473">
        <v>1197</v>
      </c>
      <c r="D396" s="471" t="s">
        <v>577</v>
      </c>
      <c r="E396" s="472">
        <v>40403</v>
      </c>
      <c r="F396" s="475" t="s">
        <v>446</v>
      </c>
      <c r="G396" s="476">
        <v>41</v>
      </c>
      <c r="H396" s="475" t="s">
        <v>578</v>
      </c>
      <c r="I396" s="498" t="s">
        <v>579</v>
      </c>
      <c r="J396" s="499">
        <f t="shared" si="13"/>
        <v>925.68</v>
      </c>
    </row>
    <row r="397" spans="1:10" ht="20.25" customHeight="1">
      <c r="A397" s="471">
        <v>5111</v>
      </c>
      <c r="B397" s="472" t="s">
        <v>445</v>
      </c>
      <c r="C397" s="473">
        <v>1198</v>
      </c>
      <c r="D397" s="471" t="s">
        <v>577</v>
      </c>
      <c r="E397" s="472">
        <v>40403</v>
      </c>
      <c r="F397" s="475" t="s">
        <v>446</v>
      </c>
      <c r="G397" s="476">
        <v>41</v>
      </c>
      <c r="H397" s="475" t="s">
        <v>578</v>
      </c>
      <c r="I397" s="498" t="s">
        <v>579</v>
      </c>
      <c r="J397" s="499">
        <f t="shared" si="13"/>
        <v>925.68</v>
      </c>
    </row>
    <row r="398" spans="1:10" ht="20.25" customHeight="1">
      <c r="A398" s="471">
        <v>5111</v>
      </c>
      <c r="B398" s="472" t="s">
        <v>445</v>
      </c>
      <c r="C398" s="473">
        <v>1199</v>
      </c>
      <c r="D398" s="471" t="s">
        <v>577</v>
      </c>
      <c r="E398" s="472">
        <v>40403</v>
      </c>
      <c r="F398" s="475" t="s">
        <v>446</v>
      </c>
      <c r="G398" s="476">
        <v>41</v>
      </c>
      <c r="H398" s="475" t="s">
        <v>578</v>
      </c>
      <c r="I398" s="498" t="s">
        <v>579</v>
      </c>
      <c r="J398" s="499">
        <f t="shared" si="13"/>
        <v>925.68</v>
      </c>
    </row>
    <row r="399" spans="1:10" ht="20.25" customHeight="1">
      <c r="A399" s="471">
        <v>5111</v>
      </c>
      <c r="B399" s="472" t="s">
        <v>445</v>
      </c>
      <c r="C399" s="473">
        <v>1200</v>
      </c>
      <c r="D399" s="471" t="s">
        <v>577</v>
      </c>
      <c r="E399" s="472">
        <v>40403</v>
      </c>
      <c r="F399" s="475" t="s">
        <v>446</v>
      </c>
      <c r="G399" s="476">
        <v>41</v>
      </c>
      <c r="H399" s="475" t="s">
        <v>578</v>
      </c>
      <c r="I399" s="498" t="s">
        <v>579</v>
      </c>
      <c r="J399" s="499">
        <f t="shared" si="13"/>
        <v>925.68</v>
      </c>
    </row>
    <row r="400" spans="1:10" ht="20.25" customHeight="1">
      <c r="A400" s="471">
        <v>5111</v>
      </c>
      <c r="B400" s="472" t="s">
        <v>445</v>
      </c>
      <c r="C400" s="473">
        <v>1201</v>
      </c>
      <c r="D400" s="471" t="s">
        <v>577</v>
      </c>
      <c r="E400" s="472">
        <v>40403</v>
      </c>
      <c r="F400" s="475" t="s">
        <v>446</v>
      </c>
      <c r="G400" s="476">
        <v>41</v>
      </c>
      <c r="H400" s="475" t="s">
        <v>578</v>
      </c>
      <c r="I400" s="498" t="s">
        <v>579</v>
      </c>
      <c r="J400" s="499">
        <f t="shared" si="13"/>
        <v>925.68</v>
      </c>
    </row>
    <row r="401" spans="1:10" ht="20.25" customHeight="1">
      <c r="A401" s="471">
        <v>5111</v>
      </c>
      <c r="B401" s="472" t="s">
        <v>445</v>
      </c>
      <c r="C401" s="473">
        <v>1202</v>
      </c>
      <c r="D401" s="471" t="s">
        <v>577</v>
      </c>
      <c r="E401" s="472">
        <v>40403</v>
      </c>
      <c r="F401" s="475" t="s">
        <v>446</v>
      </c>
      <c r="G401" s="476">
        <v>41</v>
      </c>
      <c r="H401" s="475" t="s">
        <v>578</v>
      </c>
      <c r="I401" s="498" t="s">
        <v>579</v>
      </c>
      <c r="J401" s="499">
        <f t="shared" si="13"/>
        <v>925.68</v>
      </c>
    </row>
    <row r="402" spans="1:10" ht="20.25" customHeight="1">
      <c r="A402" s="471">
        <v>5111</v>
      </c>
      <c r="B402" s="472" t="s">
        <v>445</v>
      </c>
      <c r="C402" s="473">
        <v>1203</v>
      </c>
      <c r="D402" s="471" t="s">
        <v>577</v>
      </c>
      <c r="E402" s="472">
        <v>40403</v>
      </c>
      <c r="F402" s="475" t="s">
        <v>446</v>
      </c>
      <c r="G402" s="476">
        <v>41</v>
      </c>
      <c r="H402" s="475" t="s">
        <v>578</v>
      </c>
      <c r="I402" s="498" t="s">
        <v>579</v>
      </c>
      <c r="J402" s="499">
        <f t="shared" si="13"/>
        <v>925.68</v>
      </c>
    </row>
    <row r="403" spans="1:10" ht="20.25" customHeight="1">
      <c r="A403" s="471">
        <v>5111</v>
      </c>
      <c r="B403" s="472" t="s">
        <v>445</v>
      </c>
      <c r="C403" s="473">
        <v>1204</v>
      </c>
      <c r="D403" s="471" t="s">
        <v>577</v>
      </c>
      <c r="E403" s="472">
        <v>40403</v>
      </c>
      <c r="F403" s="475" t="s">
        <v>446</v>
      </c>
      <c r="G403" s="476">
        <v>41</v>
      </c>
      <c r="H403" s="475" t="s">
        <v>578</v>
      </c>
      <c r="I403" s="498" t="s">
        <v>579</v>
      </c>
      <c r="J403" s="499">
        <f t="shared" si="13"/>
        <v>925.68</v>
      </c>
    </row>
    <row r="404" spans="1:10" ht="20.25" customHeight="1">
      <c r="A404" s="471">
        <v>5111</v>
      </c>
      <c r="B404" s="472" t="s">
        <v>445</v>
      </c>
      <c r="C404" s="473">
        <v>1205</v>
      </c>
      <c r="D404" s="471" t="s">
        <v>577</v>
      </c>
      <c r="E404" s="472">
        <v>40403</v>
      </c>
      <c r="F404" s="475" t="s">
        <v>446</v>
      </c>
      <c r="G404" s="476">
        <v>41</v>
      </c>
      <c r="H404" s="475" t="s">
        <v>578</v>
      </c>
      <c r="I404" s="498" t="s">
        <v>579</v>
      </c>
      <c r="J404" s="499">
        <f t="shared" si="13"/>
        <v>925.68</v>
      </c>
    </row>
    <row r="405" spans="1:10" ht="20.25" customHeight="1">
      <c r="A405" s="471">
        <v>5111</v>
      </c>
      <c r="B405" s="472" t="s">
        <v>445</v>
      </c>
      <c r="C405" s="473">
        <v>1206</v>
      </c>
      <c r="D405" s="471" t="s">
        <v>577</v>
      </c>
      <c r="E405" s="472">
        <v>40403</v>
      </c>
      <c r="F405" s="475" t="s">
        <v>446</v>
      </c>
      <c r="G405" s="476">
        <v>41</v>
      </c>
      <c r="H405" s="475" t="s">
        <v>578</v>
      </c>
      <c r="I405" s="498" t="s">
        <v>579</v>
      </c>
      <c r="J405" s="499">
        <f t="shared" si="13"/>
        <v>925.68</v>
      </c>
    </row>
    <row r="406" spans="1:10" ht="20.25" customHeight="1">
      <c r="A406" s="471">
        <v>5111</v>
      </c>
      <c r="B406" s="472" t="s">
        <v>445</v>
      </c>
      <c r="C406" s="473">
        <v>1207</v>
      </c>
      <c r="D406" s="471" t="s">
        <v>577</v>
      </c>
      <c r="E406" s="472">
        <v>40403</v>
      </c>
      <c r="F406" s="475" t="s">
        <v>446</v>
      </c>
      <c r="G406" s="476">
        <v>41</v>
      </c>
      <c r="H406" s="475" t="s">
        <v>578</v>
      </c>
      <c r="I406" s="498" t="s">
        <v>579</v>
      </c>
      <c r="J406" s="499">
        <f t="shared" si="13"/>
        <v>925.68</v>
      </c>
    </row>
    <row r="407" spans="1:10" ht="20.25" customHeight="1">
      <c r="A407" s="471">
        <v>5111</v>
      </c>
      <c r="B407" s="472" t="s">
        <v>445</v>
      </c>
      <c r="C407" s="473">
        <v>1208</v>
      </c>
      <c r="D407" s="471" t="s">
        <v>577</v>
      </c>
      <c r="E407" s="472">
        <v>40403</v>
      </c>
      <c r="F407" s="475" t="s">
        <v>446</v>
      </c>
      <c r="G407" s="476">
        <v>41</v>
      </c>
      <c r="H407" s="475" t="s">
        <v>578</v>
      </c>
      <c r="I407" s="498" t="s">
        <v>579</v>
      </c>
      <c r="J407" s="499">
        <f t="shared" si="13"/>
        <v>925.68</v>
      </c>
    </row>
    <row r="408" spans="1:10" ht="20.25" customHeight="1">
      <c r="A408" s="471">
        <v>5111</v>
      </c>
      <c r="B408" s="472" t="s">
        <v>445</v>
      </c>
      <c r="C408" s="473">
        <v>1209</v>
      </c>
      <c r="D408" s="471" t="s">
        <v>577</v>
      </c>
      <c r="E408" s="472">
        <v>40403</v>
      </c>
      <c r="F408" s="475" t="s">
        <v>446</v>
      </c>
      <c r="G408" s="476">
        <v>41</v>
      </c>
      <c r="H408" s="475" t="s">
        <v>578</v>
      </c>
      <c r="I408" s="498" t="s">
        <v>579</v>
      </c>
      <c r="J408" s="499">
        <f t="shared" si="13"/>
        <v>925.68</v>
      </c>
    </row>
    <row r="409" spans="1:10" ht="20.25" customHeight="1">
      <c r="A409" s="471">
        <v>5111</v>
      </c>
      <c r="B409" s="472" t="s">
        <v>445</v>
      </c>
      <c r="C409" s="473">
        <v>1210</v>
      </c>
      <c r="D409" s="471" t="s">
        <v>577</v>
      </c>
      <c r="E409" s="472">
        <v>40403</v>
      </c>
      <c r="F409" s="475" t="s">
        <v>446</v>
      </c>
      <c r="G409" s="476">
        <v>41</v>
      </c>
      <c r="H409" s="475" t="s">
        <v>578</v>
      </c>
      <c r="I409" s="498" t="s">
        <v>579</v>
      </c>
      <c r="J409" s="499">
        <f t="shared" si="13"/>
        <v>925.68</v>
      </c>
    </row>
    <row r="410" spans="1:10" ht="20.25" customHeight="1">
      <c r="A410" s="471">
        <v>5111</v>
      </c>
      <c r="B410" s="472" t="s">
        <v>445</v>
      </c>
      <c r="C410" s="473">
        <v>1211</v>
      </c>
      <c r="D410" s="471" t="s">
        <v>577</v>
      </c>
      <c r="E410" s="472">
        <v>40403</v>
      </c>
      <c r="F410" s="475" t="s">
        <v>446</v>
      </c>
      <c r="G410" s="476">
        <v>41</v>
      </c>
      <c r="H410" s="475" t="s">
        <v>578</v>
      </c>
      <c r="I410" s="498" t="s">
        <v>579</v>
      </c>
      <c r="J410" s="499">
        <f t="shared" si="13"/>
        <v>925.68</v>
      </c>
    </row>
    <row r="411" spans="1:10" ht="20.25" customHeight="1">
      <c r="A411" s="471">
        <v>5111</v>
      </c>
      <c r="B411" s="472" t="s">
        <v>445</v>
      </c>
      <c r="C411" s="473">
        <v>1212</v>
      </c>
      <c r="D411" s="471" t="s">
        <v>577</v>
      </c>
      <c r="E411" s="472">
        <v>40403</v>
      </c>
      <c r="F411" s="475" t="s">
        <v>446</v>
      </c>
      <c r="G411" s="476">
        <v>41</v>
      </c>
      <c r="H411" s="475" t="s">
        <v>578</v>
      </c>
      <c r="I411" s="498" t="s">
        <v>579</v>
      </c>
      <c r="J411" s="499">
        <f t="shared" si="13"/>
        <v>925.68</v>
      </c>
    </row>
    <row r="412" spans="1:10" ht="20.25" customHeight="1">
      <c r="A412" s="471">
        <v>5111</v>
      </c>
      <c r="B412" s="472" t="s">
        <v>445</v>
      </c>
      <c r="C412" s="473">
        <v>1213</v>
      </c>
      <c r="D412" s="471" t="s">
        <v>577</v>
      </c>
      <c r="E412" s="472">
        <v>40403</v>
      </c>
      <c r="F412" s="475" t="s">
        <v>446</v>
      </c>
      <c r="G412" s="476">
        <v>41</v>
      </c>
      <c r="H412" s="475" t="s">
        <v>578</v>
      </c>
      <c r="I412" s="498" t="s">
        <v>579</v>
      </c>
      <c r="J412" s="499">
        <f t="shared" si="13"/>
        <v>925.68</v>
      </c>
    </row>
    <row r="413" spans="1:10" ht="20.25" customHeight="1">
      <c r="A413" s="471">
        <v>5111</v>
      </c>
      <c r="B413" s="472" t="s">
        <v>445</v>
      </c>
      <c r="C413" s="473">
        <v>1214</v>
      </c>
      <c r="D413" s="471" t="s">
        <v>577</v>
      </c>
      <c r="E413" s="472">
        <v>40403</v>
      </c>
      <c r="F413" s="475" t="s">
        <v>446</v>
      </c>
      <c r="G413" s="476">
        <v>41</v>
      </c>
      <c r="H413" s="475" t="s">
        <v>578</v>
      </c>
      <c r="I413" s="498" t="s">
        <v>579</v>
      </c>
      <c r="J413" s="499">
        <f t="shared" si="13"/>
        <v>925.68</v>
      </c>
    </row>
    <row r="414" spans="1:10" ht="20.25" customHeight="1">
      <c r="A414" s="471">
        <v>5111</v>
      </c>
      <c r="B414" s="472" t="s">
        <v>445</v>
      </c>
      <c r="C414" s="473">
        <v>1215</v>
      </c>
      <c r="D414" s="471" t="s">
        <v>577</v>
      </c>
      <c r="E414" s="472">
        <v>40403</v>
      </c>
      <c r="F414" s="475" t="s">
        <v>446</v>
      </c>
      <c r="G414" s="476">
        <v>41</v>
      </c>
      <c r="H414" s="475" t="s">
        <v>578</v>
      </c>
      <c r="I414" s="498" t="s">
        <v>579</v>
      </c>
      <c r="J414" s="499">
        <f t="shared" si="13"/>
        <v>925.68</v>
      </c>
    </row>
    <row r="415" spans="1:10" ht="20.25" customHeight="1">
      <c r="A415" s="471">
        <v>5111</v>
      </c>
      <c r="B415" s="472" t="s">
        <v>445</v>
      </c>
      <c r="C415" s="473">
        <v>1216</v>
      </c>
      <c r="D415" s="471" t="s">
        <v>577</v>
      </c>
      <c r="E415" s="472">
        <v>40403</v>
      </c>
      <c r="F415" s="475" t="s">
        <v>446</v>
      </c>
      <c r="G415" s="476">
        <v>41</v>
      </c>
      <c r="H415" s="475" t="s">
        <v>578</v>
      </c>
      <c r="I415" s="498" t="s">
        <v>579</v>
      </c>
      <c r="J415" s="499">
        <f t="shared" si="13"/>
        <v>925.68</v>
      </c>
    </row>
    <row r="416" spans="1:10" ht="20.25" customHeight="1">
      <c r="A416" s="471">
        <v>5111</v>
      </c>
      <c r="B416" s="472" t="s">
        <v>445</v>
      </c>
      <c r="C416" s="473">
        <v>1217</v>
      </c>
      <c r="D416" s="471" t="s">
        <v>577</v>
      </c>
      <c r="E416" s="472">
        <v>40403</v>
      </c>
      <c r="F416" s="475" t="s">
        <v>446</v>
      </c>
      <c r="G416" s="476">
        <v>41</v>
      </c>
      <c r="H416" s="475" t="s">
        <v>578</v>
      </c>
      <c r="I416" s="498" t="s">
        <v>579</v>
      </c>
      <c r="J416" s="499">
        <f t="shared" si="13"/>
        <v>925.68</v>
      </c>
    </row>
    <row r="417" spans="1:10" ht="20.25" customHeight="1">
      <c r="A417" s="471">
        <v>5111</v>
      </c>
      <c r="B417" s="472" t="s">
        <v>445</v>
      </c>
      <c r="C417" s="473">
        <v>1218</v>
      </c>
      <c r="D417" s="471" t="s">
        <v>577</v>
      </c>
      <c r="E417" s="472">
        <v>40403</v>
      </c>
      <c r="F417" s="475" t="s">
        <v>446</v>
      </c>
      <c r="G417" s="476">
        <v>41</v>
      </c>
      <c r="H417" s="475" t="s">
        <v>578</v>
      </c>
      <c r="I417" s="498" t="s">
        <v>579</v>
      </c>
      <c r="J417" s="499">
        <f t="shared" si="13"/>
        <v>925.68</v>
      </c>
    </row>
    <row r="418" spans="1:10" ht="20.25" customHeight="1">
      <c r="A418" s="471">
        <v>5111</v>
      </c>
      <c r="B418" s="472" t="s">
        <v>445</v>
      </c>
      <c r="C418" s="473">
        <v>1219</v>
      </c>
      <c r="D418" s="471" t="s">
        <v>577</v>
      </c>
      <c r="E418" s="472">
        <v>40403</v>
      </c>
      <c r="F418" s="475" t="s">
        <v>446</v>
      </c>
      <c r="G418" s="476">
        <v>41</v>
      </c>
      <c r="H418" s="475" t="s">
        <v>578</v>
      </c>
      <c r="I418" s="498" t="s">
        <v>579</v>
      </c>
      <c r="J418" s="499">
        <f t="shared" si="13"/>
        <v>925.68</v>
      </c>
    </row>
    <row r="419" spans="1:10" ht="20.25" customHeight="1">
      <c r="A419" s="471">
        <v>5111</v>
      </c>
      <c r="B419" s="472" t="s">
        <v>445</v>
      </c>
      <c r="C419" s="473">
        <v>1220</v>
      </c>
      <c r="D419" s="471" t="s">
        <v>577</v>
      </c>
      <c r="E419" s="472">
        <v>40403</v>
      </c>
      <c r="F419" s="475" t="s">
        <v>446</v>
      </c>
      <c r="G419" s="476">
        <v>41</v>
      </c>
      <c r="H419" s="475" t="s">
        <v>578</v>
      </c>
      <c r="I419" s="498" t="s">
        <v>579</v>
      </c>
      <c r="J419" s="499">
        <f t="shared" si="13"/>
        <v>925.68</v>
      </c>
    </row>
    <row r="420" spans="1:10" ht="20.25" customHeight="1">
      <c r="A420" s="471">
        <v>5111</v>
      </c>
      <c r="B420" s="472" t="s">
        <v>445</v>
      </c>
      <c r="C420" s="473">
        <v>1221</v>
      </c>
      <c r="D420" s="471" t="s">
        <v>577</v>
      </c>
      <c r="E420" s="472">
        <v>40403</v>
      </c>
      <c r="F420" s="475" t="s">
        <v>446</v>
      </c>
      <c r="G420" s="476">
        <v>41</v>
      </c>
      <c r="H420" s="475" t="s">
        <v>578</v>
      </c>
      <c r="I420" s="498" t="s">
        <v>579</v>
      </c>
      <c r="J420" s="499">
        <f t="shared" si="13"/>
        <v>925.68</v>
      </c>
    </row>
    <row r="421" spans="1:10" ht="20.25" customHeight="1">
      <c r="A421" s="471">
        <v>5111</v>
      </c>
      <c r="B421" s="472" t="s">
        <v>445</v>
      </c>
      <c r="C421" s="473">
        <v>1222</v>
      </c>
      <c r="D421" s="471" t="s">
        <v>577</v>
      </c>
      <c r="E421" s="472">
        <v>40403</v>
      </c>
      <c r="F421" s="475" t="s">
        <v>446</v>
      </c>
      <c r="G421" s="476">
        <v>41</v>
      </c>
      <c r="H421" s="475" t="s">
        <v>578</v>
      </c>
      <c r="I421" s="498" t="s">
        <v>579</v>
      </c>
      <c r="J421" s="499">
        <f t="shared" si="13"/>
        <v>925.68</v>
      </c>
    </row>
    <row r="422" spans="1:10" ht="20.25" customHeight="1">
      <c r="A422" s="471">
        <v>5111</v>
      </c>
      <c r="B422" s="472" t="s">
        <v>445</v>
      </c>
      <c r="C422" s="473">
        <v>1223</v>
      </c>
      <c r="D422" s="471" t="s">
        <v>577</v>
      </c>
      <c r="E422" s="472">
        <v>40403</v>
      </c>
      <c r="F422" s="475" t="s">
        <v>446</v>
      </c>
      <c r="G422" s="476">
        <v>41</v>
      </c>
      <c r="H422" s="475" t="s">
        <v>578</v>
      </c>
      <c r="I422" s="498" t="s">
        <v>579</v>
      </c>
      <c r="J422" s="499">
        <f t="shared" si="13"/>
        <v>925.68</v>
      </c>
    </row>
    <row r="423" spans="1:10" ht="20.25" customHeight="1">
      <c r="A423" s="471">
        <v>5111</v>
      </c>
      <c r="B423" s="472" t="s">
        <v>445</v>
      </c>
      <c r="C423" s="473">
        <v>1224</v>
      </c>
      <c r="D423" s="471" t="s">
        <v>577</v>
      </c>
      <c r="E423" s="472">
        <v>40403</v>
      </c>
      <c r="F423" s="475" t="s">
        <v>446</v>
      </c>
      <c r="G423" s="476">
        <v>41</v>
      </c>
      <c r="H423" s="475" t="s">
        <v>578</v>
      </c>
      <c r="I423" s="498" t="s">
        <v>579</v>
      </c>
      <c r="J423" s="499">
        <f t="shared" si="13"/>
        <v>925.68</v>
      </c>
    </row>
    <row r="424" spans="1:10" ht="20.25" customHeight="1">
      <c r="A424" s="471">
        <v>5111</v>
      </c>
      <c r="B424" s="472" t="s">
        <v>445</v>
      </c>
      <c r="C424" s="473">
        <v>1225</v>
      </c>
      <c r="D424" s="471" t="s">
        <v>577</v>
      </c>
      <c r="E424" s="472">
        <v>40403</v>
      </c>
      <c r="F424" s="475" t="s">
        <v>446</v>
      </c>
      <c r="G424" s="476">
        <v>41</v>
      </c>
      <c r="H424" s="475" t="s">
        <v>578</v>
      </c>
      <c r="I424" s="498" t="s">
        <v>579</v>
      </c>
      <c r="J424" s="499">
        <f t="shared" si="13"/>
        <v>925.68</v>
      </c>
    </row>
    <row r="425" spans="1:10" ht="20.25" customHeight="1">
      <c r="A425" s="471">
        <v>5111</v>
      </c>
      <c r="B425" s="472" t="s">
        <v>445</v>
      </c>
      <c r="C425" s="473">
        <v>1226</v>
      </c>
      <c r="D425" s="471" t="s">
        <v>577</v>
      </c>
      <c r="E425" s="472">
        <v>40403</v>
      </c>
      <c r="F425" s="475" t="s">
        <v>446</v>
      </c>
      <c r="G425" s="476">
        <v>41</v>
      </c>
      <c r="H425" s="475" t="s">
        <v>578</v>
      </c>
      <c r="I425" s="498" t="s">
        <v>579</v>
      </c>
      <c r="J425" s="499">
        <f t="shared" si="13"/>
        <v>925.68</v>
      </c>
    </row>
    <row r="426" spans="1:10" ht="20.25" customHeight="1">
      <c r="A426" s="471">
        <v>5111</v>
      </c>
      <c r="B426" s="472" t="s">
        <v>445</v>
      </c>
      <c r="C426" s="473">
        <v>1227</v>
      </c>
      <c r="D426" s="471" t="s">
        <v>577</v>
      </c>
      <c r="E426" s="472">
        <v>40403</v>
      </c>
      <c r="F426" s="475" t="s">
        <v>446</v>
      </c>
      <c r="G426" s="476">
        <v>41</v>
      </c>
      <c r="H426" s="475" t="s">
        <v>578</v>
      </c>
      <c r="I426" s="498" t="s">
        <v>579</v>
      </c>
      <c r="J426" s="499">
        <f t="shared" si="13"/>
        <v>925.68</v>
      </c>
    </row>
    <row r="427" spans="1:10" ht="20.25" customHeight="1">
      <c r="A427" s="471">
        <v>5111</v>
      </c>
      <c r="B427" s="472" t="s">
        <v>445</v>
      </c>
      <c r="C427" s="473">
        <v>1228</v>
      </c>
      <c r="D427" s="471" t="s">
        <v>577</v>
      </c>
      <c r="E427" s="472">
        <v>40403</v>
      </c>
      <c r="F427" s="475" t="s">
        <v>446</v>
      </c>
      <c r="G427" s="476">
        <v>41</v>
      </c>
      <c r="H427" s="475" t="s">
        <v>578</v>
      </c>
      <c r="I427" s="498" t="s">
        <v>579</v>
      </c>
      <c r="J427" s="499">
        <f t="shared" si="13"/>
        <v>925.68</v>
      </c>
    </row>
    <row r="428" spans="1:10" ht="20.25" customHeight="1">
      <c r="A428" s="471">
        <v>5111</v>
      </c>
      <c r="B428" s="472" t="s">
        <v>445</v>
      </c>
      <c r="C428" s="473">
        <v>1229</v>
      </c>
      <c r="D428" s="471" t="s">
        <v>577</v>
      </c>
      <c r="E428" s="472">
        <v>40403</v>
      </c>
      <c r="F428" s="475" t="s">
        <v>446</v>
      </c>
      <c r="G428" s="476">
        <v>41</v>
      </c>
      <c r="H428" s="475" t="s">
        <v>578</v>
      </c>
      <c r="I428" s="498" t="s">
        <v>579</v>
      </c>
      <c r="J428" s="499">
        <f t="shared" si="13"/>
        <v>925.68</v>
      </c>
    </row>
    <row r="429" spans="1:10" ht="20.25" customHeight="1">
      <c r="A429" s="471">
        <v>5111</v>
      </c>
      <c r="B429" s="472" t="s">
        <v>445</v>
      </c>
      <c r="C429" s="473">
        <v>1230</v>
      </c>
      <c r="D429" s="471" t="s">
        <v>577</v>
      </c>
      <c r="E429" s="472">
        <v>40403</v>
      </c>
      <c r="F429" s="475" t="s">
        <v>446</v>
      </c>
      <c r="G429" s="476">
        <v>41</v>
      </c>
      <c r="H429" s="475" t="s">
        <v>578</v>
      </c>
      <c r="I429" s="498" t="s">
        <v>579</v>
      </c>
      <c r="J429" s="499">
        <f t="shared" si="13"/>
        <v>925.68</v>
      </c>
    </row>
    <row r="430" spans="1:10" ht="20.25" customHeight="1">
      <c r="A430" s="471">
        <v>5111</v>
      </c>
      <c r="B430" s="472" t="s">
        <v>445</v>
      </c>
      <c r="C430" s="473">
        <v>1231</v>
      </c>
      <c r="D430" s="471" t="s">
        <v>577</v>
      </c>
      <c r="E430" s="472">
        <v>40403</v>
      </c>
      <c r="F430" s="475" t="s">
        <v>446</v>
      </c>
      <c r="G430" s="476">
        <v>41</v>
      </c>
      <c r="H430" s="475" t="s">
        <v>578</v>
      </c>
      <c r="I430" s="498" t="s">
        <v>580</v>
      </c>
      <c r="J430" s="499">
        <f t="shared" si="13"/>
        <v>925.68</v>
      </c>
    </row>
    <row r="431" spans="1:10" ht="20.25" customHeight="1">
      <c r="A431" s="471">
        <v>5111</v>
      </c>
      <c r="B431" s="472" t="s">
        <v>445</v>
      </c>
      <c r="C431" s="473">
        <v>1232</v>
      </c>
      <c r="D431" s="471" t="s">
        <v>577</v>
      </c>
      <c r="E431" s="472">
        <v>40403</v>
      </c>
      <c r="F431" s="475" t="s">
        <v>446</v>
      </c>
      <c r="G431" s="476">
        <v>41</v>
      </c>
      <c r="H431" s="475" t="s">
        <v>578</v>
      </c>
      <c r="I431" s="498" t="s">
        <v>579</v>
      </c>
      <c r="J431" s="499">
        <f t="shared" si="13"/>
        <v>925.68</v>
      </c>
    </row>
    <row r="432" spans="1:10" ht="20.25" customHeight="1">
      <c r="A432" s="471">
        <v>5111</v>
      </c>
      <c r="B432" s="472" t="s">
        <v>445</v>
      </c>
      <c r="C432" s="473">
        <v>1233</v>
      </c>
      <c r="D432" s="471" t="s">
        <v>577</v>
      </c>
      <c r="E432" s="472">
        <v>40403</v>
      </c>
      <c r="F432" s="475" t="s">
        <v>446</v>
      </c>
      <c r="G432" s="476">
        <v>41</v>
      </c>
      <c r="H432" s="475" t="s">
        <v>578</v>
      </c>
      <c r="I432" s="498" t="s">
        <v>579</v>
      </c>
      <c r="J432" s="499">
        <f t="shared" si="13"/>
        <v>925.68</v>
      </c>
    </row>
    <row r="433" spans="1:10" ht="20.25" customHeight="1">
      <c r="A433" s="471">
        <v>5111</v>
      </c>
      <c r="B433" s="472" t="s">
        <v>445</v>
      </c>
      <c r="C433" s="473">
        <v>1234</v>
      </c>
      <c r="D433" s="471" t="s">
        <v>577</v>
      </c>
      <c r="E433" s="472">
        <v>40403</v>
      </c>
      <c r="F433" s="475" t="s">
        <v>446</v>
      </c>
      <c r="G433" s="476">
        <v>41</v>
      </c>
      <c r="H433" s="475" t="s">
        <v>578</v>
      </c>
      <c r="I433" s="498" t="s">
        <v>579</v>
      </c>
      <c r="J433" s="499">
        <f t="shared" si="13"/>
        <v>925.68</v>
      </c>
    </row>
    <row r="434" spans="1:10" ht="20.25" customHeight="1">
      <c r="A434" s="471">
        <v>5111</v>
      </c>
      <c r="B434" s="472" t="s">
        <v>445</v>
      </c>
      <c r="C434" s="473">
        <v>1235</v>
      </c>
      <c r="D434" s="471" t="s">
        <v>577</v>
      </c>
      <c r="E434" s="472">
        <v>40403</v>
      </c>
      <c r="F434" s="475" t="s">
        <v>446</v>
      </c>
      <c r="G434" s="476">
        <v>41</v>
      </c>
      <c r="H434" s="475" t="s">
        <v>578</v>
      </c>
      <c r="I434" s="498" t="s">
        <v>579</v>
      </c>
      <c r="J434" s="499">
        <f t="shared" si="13"/>
        <v>925.68</v>
      </c>
    </row>
    <row r="435" spans="1:10" ht="20.25" customHeight="1">
      <c r="A435" s="471">
        <v>5111</v>
      </c>
      <c r="B435" s="472" t="s">
        <v>445</v>
      </c>
      <c r="C435" s="473">
        <v>1236</v>
      </c>
      <c r="D435" s="471" t="s">
        <v>577</v>
      </c>
      <c r="E435" s="472">
        <v>40403</v>
      </c>
      <c r="F435" s="475" t="s">
        <v>446</v>
      </c>
      <c r="G435" s="476">
        <v>41</v>
      </c>
      <c r="H435" s="475" t="s">
        <v>578</v>
      </c>
      <c r="I435" s="498" t="s">
        <v>579</v>
      </c>
      <c r="J435" s="499">
        <f t="shared" si="13"/>
        <v>925.68</v>
      </c>
    </row>
    <row r="436" spans="1:10" ht="20.25" customHeight="1">
      <c r="A436" s="471">
        <v>5111</v>
      </c>
      <c r="B436" s="472" t="s">
        <v>445</v>
      </c>
      <c r="C436" s="473">
        <v>1237</v>
      </c>
      <c r="D436" s="471" t="s">
        <v>577</v>
      </c>
      <c r="E436" s="472">
        <v>40403</v>
      </c>
      <c r="F436" s="475" t="s">
        <v>446</v>
      </c>
      <c r="G436" s="476">
        <v>41</v>
      </c>
      <c r="H436" s="475" t="s">
        <v>578</v>
      </c>
      <c r="I436" s="498" t="s">
        <v>579</v>
      </c>
      <c r="J436" s="499">
        <f t="shared" si="13"/>
        <v>925.68</v>
      </c>
    </row>
    <row r="437" spans="1:10" ht="20.25" customHeight="1">
      <c r="A437" s="471">
        <v>5111</v>
      </c>
      <c r="B437" s="472" t="s">
        <v>445</v>
      </c>
      <c r="C437" s="473">
        <v>1238</v>
      </c>
      <c r="D437" s="471" t="s">
        <v>577</v>
      </c>
      <c r="E437" s="472">
        <v>40403</v>
      </c>
      <c r="F437" s="475" t="s">
        <v>446</v>
      </c>
      <c r="G437" s="476">
        <v>41</v>
      </c>
      <c r="H437" s="475" t="s">
        <v>578</v>
      </c>
      <c r="I437" s="498" t="s">
        <v>579</v>
      </c>
      <c r="J437" s="499">
        <f t="shared" si="13"/>
        <v>925.68</v>
      </c>
    </row>
    <row r="438" spans="1:10" ht="20.25" customHeight="1">
      <c r="A438" s="471">
        <v>5111</v>
      </c>
      <c r="B438" s="472" t="s">
        <v>445</v>
      </c>
      <c r="C438" s="473">
        <v>1239</v>
      </c>
      <c r="D438" s="471" t="s">
        <v>577</v>
      </c>
      <c r="E438" s="472">
        <v>40403</v>
      </c>
      <c r="F438" s="475" t="s">
        <v>446</v>
      </c>
      <c r="G438" s="476">
        <v>41</v>
      </c>
      <c r="H438" s="475" t="s">
        <v>578</v>
      </c>
      <c r="I438" s="498" t="s">
        <v>579</v>
      </c>
      <c r="J438" s="499">
        <f t="shared" si="13"/>
        <v>925.68</v>
      </c>
    </row>
    <row r="439" spans="1:10" ht="20.25" customHeight="1">
      <c r="A439" s="471">
        <v>5111</v>
      </c>
      <c r="B439" s="472" t="s">
        <v>445</v>
      </c>
      <c r="C439" s="473">
        <v>1240</v>
      </c>
      <c r="D439" s="471" t="s">
        <v>577</v>
      </c>
      <c r="E439" s="472">
        <v>40403</v>
      </c>
      <c r="F439" s="475" t="s">
        <v>446</v>
      </c>
      <c r="G439" s="476">
        <v>41</v>
      </c>
      <c r="H439" s="475" t="s">
        <v>578</v>
      </c>
      <c r="I439" s="498" t="s">
        <v>579</v>
      </c>
      <c r="J439" s="499">
        <f t="shared" si="13"/>
        <v>925.68</v>
      </c>
    </row>
    <row r="440" spans="1:10" ht="20.25" customHeight="1">
      <c r="A440" s="471">
        <v>5111</v>
      </c>
      <c r="B440" s="472" t="s">
        <v>445</v>
      </c>
      <c r="C440" s="473">
        <v>1241</v>
      </c>
      <c r="D440" s="471" t="s">
        <v>577</v>
      </c>
      <c r="E440" s="472">
        <v>40403</v>
      </c>
      <c r="F440" s="475" t="s">
        <v>446</v>
      </c>
      <c r="G440" s="476">
        <v>41</v>
      </c>
      <c r="H440" s="475" t="s">
        <v>578</v>
      </c>
      <c r="I440" s="498" t="s">
        <v>579</v>
      </c>
      <c r="J440" s="499">
        <f t="shared" si="13"/>
        <v>925.68</v>
      </c>
    </row>
    <row r="441" spans="1:10" ht="20.25" customHeight="1">
      <c r="A441" s="471">
        <v>5111</v>
      </c>
      <c r="B441" s="472" t="s">
        <v>445</v>
      </c>
      <c r="C441" s="473">
        <v>1242</v>
      </c>
      <c r="D441" s="471" t="s">
        <v>577</v>
      </c>
      <c r="E441" s="472">
        <v>40403</v>
      </c>
      <c r="F441" s="475" t="s">
        <v>446</v>
      </c>
      <c r="G441" s="476">
        <v>41</v>
      </c>
      <c r="H441" s="475" t="s">
        <v>578</v>
      </c>
      <c r="I441" s="498" t="s">
        <v>579</v>
      </c>
      <c r="J441" s="499">
        <f t="shared" si="13"/>
        <v>925.68</v>
      </c>
    </row>
    <row r="442" spans="1:10" ht="20.25" customHeight="1">
      <c r="A442" s="471">
        <v>5111</v>
      </c>
      <c r="B442" s="472" t="s">
        <v>445</v>
      </c>
      <c r="C442" s="473">
        <v>1243</v>
      </c>
      <c r="D442" s="471" t="s">
        <v>577</v>
      </c>
      <c r="E442" s="472">
        <v>40403</v>
      </c>
      <c r="F442" s="475" t="s">
        <v>446</v>
      </c>
      <c r="G442" s="476">
        <v>41</v>
      </c>
      <c r="H442" s="475" t="s">
        <v>578</v>
      </c>
      <c r="I442" s="498" t="s">
        <v>579</v>
      </c>
      <c r="J442" s="499">
        <f t="shared" si="13"/>
        <v>925.68</v>
      </c>
    </row>
    <row r="443" spans="1:10" ht="20.25" customHeight="1">
      <c r="A443" s="471">
        <v>5111</v>
      </c>
      <c r="B443" s="472" t="s">
        <v>445</v>
      </c>
      <c r="C443" s="473">
        <v>1244</v>
      </c>
      <c r="D443" s="471" t="s">
        <v>577</v>
      </c>
      <c r="E443" s="472">
        <v>40403</v>
      </c>
      <c r="F443" s="475" t="s">
        <v>446</v>
      </c>
      <c r="G443" s="476">
        <v>41</v>
      </c>
      <c r="H443" s="475" t="s">
        <v>578</v>
      </c>
      <c r="I443" s="498" t="s">
        <v>579</v>
      </c>
      <c r="J443" s="499">
        <f t="shared" si="13"/>
        <v>925.68</v>
      </c>
    </row>
    <row r="444" spans="1:10" ht="20.25" customHeight="1">
      <c r="A444" s="471">
        <v>5111</v>
      </c>
      <c r="B444" s="472" t="s">
        <v>445</v>
      </c>
      <c r="C444" s="473">
        <v>1245</v>
      </c>
      <c r="D444" s="471" t="s">
        <v>577</v>
      </c>
      <c r="E444" s="472">
        <v>40403</v>
      </c>
      <c r="F444" s="475" t="s">
        <v>446</v>
      </c>
      <c r="G444" s="476">
        <v>41</v>
      </c>
      <c r="H444" s="475" t="s">
        <v>578</v>
      </c>
      <c r="I444" s="498" t="s">
        <v>579</v>
      </c>
      <c r="J444" s="499">
        <f t="shared" si="13"/>
        <v>925.68</v>
      </c>
    </row>
    <row r="445" spans="1:10" ht="20.25" customHeight="1">
      <c r="A445" s="471">
        <v>5111</v>
      </c>
      <c r="B445" s="472" t="s">
        <v>445</v>
      </c>
      <c r="C445" s="473">
        <v>1246</v>
      </c>
      <c r="D445" s="471" t="s">
        <v>577</v>
      </c>
      <c r="E445" s="472">
        <v>40403</v>
      </c>
      <c r="F445" s="475" t="s">
        <v>446</v>
      </c>
      <c r="G445" s="476">
        <v>41</v>
      </c>
      <c r="H445" s="475" t="s">
        <v>578</v>
      </c>
      <c r="I445" s="498" t="s">
        <v>579</v>
      </c>
      <c r="J445" s="499">
        <f t="shared" si="13"/>
        <v>925.68</v>
      </c>
    </row>
    <row r="446" spans="1:10" ht="20.25" customHeight="1">
      <c r="A446" s="471">
        <v>5111</v>
      </c>
      <c r="B446" s="472" t="s">
        <v>445</v>
      </c>
      <c r="C446" s="473">
        <v>1247</v>
      </c>
      <c r="D446" s="471" t="s">
        <v>577</v>
      </c>
      <c r="E446" s="472">
        <v>40403</v>
      </c>
      <c r="F446" s="475" t="s">
        <v>446</v>
      </c>
      <c r="G446" s="476">
        <v>41</v>
      </c>
      <c r="H446" s="475" t="s">
        <v>578</v>
      </c>
      <c r="I446" s="498" t="s">
        <v>579</v>
      </c>
      <c r="J446" s="499">
        <f t="shared" si="13"/>
        <v>925.68</v>
      </c>
    </row>
    <row r="447" spans="1:10" ht="20.25" customHeight="1">
      <c r="A447" s="471">
        <v>5111</v>
      </c>
      <c r="B447" s="472" t="s">
        <v>445</v>
      </c>
      <c r="C447" s="473">
        <v>1248</v>
      </c>
      <c r="D447" s="471" t="s">
        <v>577</v>
      </c>
      <c r="E447" s="472">
        <v>40403</v>
      </c>
      <c r="F447" s="475" t="s">
        <v>446</v>
      </c>
      <c r="G447" s="476">
        <v>41</v>
      </c>
      <c r="H447" s="475" t="s">
        <v>578</v>
      </c>
      <c r="I447" s="498" t="s">
        <v>579</v>
      </c>
      <c r="J447" s="499">
        <f t="shared" si="13"/>
        <v>925.68</v>
      </c>
    </row>
    <row r="448" spans="1:10" ht="20.25" customHeight="1">
      <c r="A448" s="471">
        <v>5111</v>
      </c>
      <c r="B448" s="472" t="s">
        <v>445</v>
      </c>
      <c r="C448" s="473">
        <v>1249</v>
      </c>
      <c r="D448" s="471" t="s">
        <v>577</v>
      </c>
      <c r="E448" s="472">
        <v>40403</v>
      </c>
      <c r="F448" s="475" t="s">
        <v>446</v>
      </c>
      <c r="G448" s="476">
        <v>41</v>
      </c>
      <c r="H448" s="475" t="s">
        <v>578</v>
      </c>
      <c r="I448" s="498" t="s">
        <v>579</v>
      </c>
      <c r="J448" s="499">
        <f t="shared" si="13"/>
        <v>925.68</v>
      </c>
    </row>
    <row r="449" spans="1:10" ht="20.25" customHeight="1">
      <c r="A449" s="471">
        <v>5111</v>
      </c>
      <c r="B449" s="472" t="s">
        <v>445</v>
      </c>
      <c r="C449" s="473">
        <v>1250</v>
      </c>
      <c r="D449" s="471" t="s">
        <v>577</v>
      </c>
      <c r="E449" s="472">
        <v>40403</v>
      </c>
      <c r="F449" s="475" t="s">
        <v>446</v>
      </c>
      <c r="G449" s="476">
        <v>41</v>
      </c>
      <c r="H449" s="475" t="s">
        <v>578</v>
      </c>
      <c r="I449" s="498" t="s">
        <v>579</v>
      </c>
      <c r="J449" s="499">
        <f t="shared" si="13"/>
        <v>925.68</v>
      </c>
    </row>
    <row r="450" spans="1:10" ht="20.25" customHeight="1">
      <c r="A450" s="471">
        <v>5111</v>
      </c>
      <c r="B450" s="472" t="s">
        <v>445</v>
      </c>
      <c r="C450" s="473">
        <v>1251</v>
      </c>
      <c r="D450" s="471" t="s">
        <v>577</v>
      </c>
      <c r="E450" s="472">
        <v>40403</v>
      </c>
      <c r="F450" s="475" t="s">
        <v>446</v>
      </c>
      <c r="G450" s="476">
        <v>41</v>
      </c>
      <c r="H450" s="475" t="s">
        <v>578</v>
      </c>
      <c r="I450" s="498" t="s">
        <v>579</v>
      </c>
      <c r="J450" s="499">
        <f t="shared" si="13"/>
        <v>925.68</v>
      </c>
    </row>
    <row r="451" spans="1:10" ht="20.25" customHeight="1">
      <c r="A451" s="471">
        <v>5111</v>
      </c>
      <c r="B451" s="472" t="s">
        <v>445</v>
      </c>
      <c r="C451" s="473">
        <v>1252</v>
      </c>
      <c r="D451" s="471" t="s">
        <v>577</v>
      </c>
      <c r="E451" s="472">
        <v>40403</v>
      </c>
      <c r="F451" s="475" t="s">
        <v>446</v>
      </c>
      <c r="G451" s="476">
        <v>41</v>
      </c>
      <c r="H451" s="475" t="s">
        <v>578</v>
      </c>
      <c r="I451" s="498" t="s">
        <v>579</v>
      </c>
      <c r="J451" s="499">
        <f t="shared" si="13"/>
        <v>925.68</v>
      </c>
    </row>
    <row r="452" spans="1:10" ht="20.25" customHeight="1">
      <c r="A452" s="471">
        <v>5111</v>
      </c>
      <c r="B452" s="472" t="s">
        <v>445</v>
      </c>
      <c r="C452" s="473">
        <v>1253</v>
      </c>
      <c r="D452" s="471" t="s">
        <v>577</v>
      </c>
      <c r="E452" s="472">
        <v>40403</v>
      </c>
      <c r="F452" s="475" t="s">
        <v>446</v>
      </c>
      <c r="G452" s="476">
        <v>41</v>
      </c>
      <c r="H452" s="475" t="s">
        <v>578</v>
      </c>
      <c r="I452" s="498" t="s">
        <v>579</v>
      </c>
      <c r="J452" s="499">
        <f t="shared" si="13"/>
        <v>925.68</v>
      </c>
    </row>
    <row r="453" spans="1:10" ht="20.25" customHeight="1">
      <c r="A453" s="471">
        <v>5111</v>
      </c>
      <c r="B453" s="472" t="s">
        <v>445</v>
      </c>
      <c r="C453" s="473">
        <v>1254</v>
      </c>
      <c r="D453" s="471" t="s">
        <v>577</v>
      </c>
      <c r="E453" s="472">
        <v>40403</v>
      </c>
      <c r="F453" s="475" t="s">
        <v>446</v>
      </c>
      <c r="G453" s="476">
        <v>41</v>
      </c>
      <c r="H453" s="475" t="s">
        <v>578</v>
      </c>
      <c r="I453" s="498" t="s">
        <v>579</v>
      </c>
      <c r="J453" s="499">
        <f t="shared" si="13"/>
        <v>925.68</v>
      </c>
    </row>
    <row r="454" spans="1:10" ht="20.25" customHeight="1">
      <c r="A454" s="471">
        <v>5111</v>
      </c>
      <c r="B454" s="472" t="s">
        <v>445</v>
      </c>
      <c r="C454" s="473">
        <v>1255</v>
      </c>
      <c r="D454" s="471" t="s">
        <v>577</v>
      </c>
      <c r="E454" s="472">
        <v>40403</v>
      </c>
      <c r="F454" s="475" t="s">
        <v>446</v>
      </c>
      <c r="G454" s="476">
        <v>41</v>
      </c>
      <c r="H454" s="475" t="s">
        <v>578</v>
      </c>
      <c r="I454" s="498" t="s">
        <v>579</v>
      </c>
      <c r="J454" s="499">
        <f t="shared" si="13"/>
        <v>925.68</v>
      </c>
    </row>
    <row r="455" spans="1:10" ht="20.25" customHeight="1">
      <c r="A455" s="471">
        <v>5111</v>
      </c>
      <c r="B455" s="472" t="s">
        <v>445</v>
      </c>
      <c r="C455" s="473">
        <v>1256</v>
      </c>
      <c r="D455" s="471" t="s">
        <v>577</v>
      </c>
      <c r="E455" s="472">
        <v>40403</v>
      </c>
      <c r="F455" s="475" t="s">
        <v>446</v>
      </c>
      <c r="G455" s="476">
        <v>41</v>
      </c>
      <c r="H455" s="475" t="s">
        <v>578</v>
      </c>
      <c r="I455" s="498" t="s">
        <v>579</v>
      </c>
      <c r="J455" s="499">
        <f t="shared" si="13"/>
        <v>925.68</v>
      </c>
    </row>
    <row r="456" spans="1:10" ht="20.25" customHeight="1">
      <c r="A456" s="471">
        <v>5111</v>
      </c>
      <c r="B456" s="472" t="s">
        <v>445</v>
      </c>
      <c r="C456" s="473">
        <v>1257</v>
      </c>
      <c r="D456" s="471" t="s">
        <v>577</v>
      </c>
      <c r="E456" s="472">
        <v>40403</v>
      </c>
      <c r="F456" s="475" t="s">
        <v>446</v>
      </c>
      <c r="G456" s="476">
        <v>41</v>
      </c>
      <c r="H456" s="475" t="s">
        <v>578</v>
      </c>
      <c r="I456" s="498" t="s">
        <v>579</v>
      </c>
      <c r="J456" s="499">
        <f t="shared" si="13"/>
        <v>925.68</v>
      </c>
    </row>
    <row r="457" spans="1:10" ht="20.25" customHeight="1">
      <c r="A457" s="471">
        <v>5111</v>
      </c>
      <c r="B457" s="472" t="s">
        <v>445</v>
      </c>
      <c r="C457" s="473">
        <v>1258</v>
      </c>
      <c r="D457" s="471" t="s">
        <v>577</v>
      </c>
      <c r="E457" s="472">
        <v>40403</v>
      </c>
      <c r="F457" s="475" t="s">
        <v>446</v>
      </c>
      <c r="G457" s="476">
        <v>41</v>
      </c>
      <c r="H457" s="475" t="s">
        <v>578</v>
      </c>
      <c r="I457" s="498" t="s">
        <v>579</v>
      </c>
      <c r="J457" s="499">
        <f t="shared" ref="J457:J476" si="14">798*1.16</f>
        <v>925.68</v>
      </c>
    </row>
    <row r="458" spans="1:10" ht="20.25" customHeight="1">
      <c r="A458" s="471">
        <v>5111</v>
      </c>
      <c r="B458" s="472" t="s">
        <v>445</v>
      </c>
      <c r="C458" s="473">
        <v>1259</v>
      </c>
      <c r="D458" s="471" t="s">
        <v>577</v>
      </c>
      <c r="E458" s="472">
        <v>40403</v>
      </c>
      <c r="F458" s="475" t="s">
        <v>446</v>
      </c>
      <c r="G458" s="476">
        <v>41</v>
      </c>
      <c r="H458" s="475" t="s">
        <v>578</v>
      </c>
      <c r="I458" s="498" t="s">
        <v>579</v>
      </c>
      <c r="J458" s="499">
        <f t="shared" si="14"/>
        <v>925.68</v>
      </c>
    </row>
    <row r="459" spans="1:10" ht="20.25" customHeight="1">
      <c r="A459" s="471">
        <v>5111</v>
      </c>
      <c r="B459" s="472" t="s">
        <v>445</v>
      </c>
      <c r="C459" s="473">
        <v>1260</v>
      </c>
      <c r="D459" s="471" t="s">
        <v>577</v>
      </c>
      <c r="E459" s="472">
        <v>40403</v>
      </c>
      <c r="F459" s="475" t="s">
        <v>446</v>
      </c>
      <c r="G459" s="476">
        <v>41</v>
      </c>
      <c r="H459" s="475" t="s">
        <v>578</v>
      </c>
      <c r="I459" s="498" t="s">
        <v>579</v>
      </c>
      <c r="J459" s="499">
        <f t="shared" si="14"/>
        <v>925.68</v>
      </c>
    </row>
    <row r="460" spans="1:10" ht="20.25" customHeight="1">
      <c r="A460" s="471">
        <v>5111</v>
      </c>
      <c r="B460" s="472" t="s">
        <v>445</v>
      </c>
      <c r="C460" s="473">
        <v>1261</v>
      </c>
      <c r="D460" s="471" t="s">
        <v>577</v>
      </c>
      <c r="E460" s="472">
        <v>40403</v>
      </c>
      <c r="F460" s="475" t="s">
        <v>446</v>
      </c>
      <c r="G460" s="476">
        <v>41</v>
      </c>
      <c r="H460" s="475" t="s">
        <v>578</v>
      </c>
      <c r="I460" s="498" t="s">
        <v>579</v>
      </c>
      <c r="J460" s="499">
        <f t="shared" si="14"/>
        <v>925.68</v>
      </c>
    </row>
    <row r="461" spans="1:10" ht="20.25" customHeight="1">
      <c r="A461" s="471">
        <v>5111</v>
      </c>
      <c r="B461" s="472" t="s">
        <v>445</v>
      </c>
      <c r="C461" s="473">
        <v>1262</v>
      </c>
      <c r="D461" s="471" t="s">
        <v>577</v>
      </c>
      <c r="E461" s="472">
        <v>40403</v>
      </c>
      <c r="F461" s="475" t="s">
        <v>446</v>
      </c>
      <c r="G461" s="476">
        <v>41</v>
      </c>
      <c r="H461" s="475" t="s">
        <v>578</v>
      </c>
      <c r="I461" s="498" t="s">
        <v>579</v>
      </c>
      <c r="J461" s="499">
        <f t="shared" si="14"/>
        <v>925.68</v>
      </c>
    </row>
    <row r="462" spans="1:10" ht="20.25" customHeight="1">
      <c r="A462" s="471">
        <v>5111</v>
      </c>
      <c r="B462" s="472" t="s">
        <v>445</v>
      </c>
      <c r="C462" s="473">
        <v>1263</v>
      </c>
      <c r="D462" s="471" t="s">
        <v>577</v>
      </c>
      <c r="E462" s="472">
        <v>40403</v>
      </c>
      <c r="F462" s="475" t="s">
        <v>446</v>
      </c>
      <c r="G462" s="476">
        <v>41</v>
      </c>
      <c r="H462" s="475" t="s">
        <v>578</v>
      </c>
      <c r="I462" s="498" t="s">
        <v>579</v>
      </c>
      <c r="J462" s="499">
        <f t="shared" si="14"/>
        <v>925.68</v>
      </c>
    </row>
    <row r="463" spans="1:10" ht="20.25" customHeight="1">
      <c r="A463" s="471">
        <v>5111</v>
      </c>
      <c r="B463" s="472" t="s">
        <v>445</v>
      </c>
      <c r="C463" s="473">
        <v>1264</v>
      </c>
      <c r="D463" s="471" t="s">
        <v>577</v>
      </c>
      <c r="E463" s="472">
        <v>40403</v>
      </c>
      <c r="F463" s="475" t="s">
        <v>446</v>
      </c>
      <c r="G463" s="476">
        <v>41</v>
      </c>
      <c r="H463" s="475" t="s">
        <v>578</v>
      </c>
      <c r="I463" s="498" t="s">
        <v>579</v>
      </c>
      <c r="J463" s="499">
        <f t="shared" si="14"/>
        <v>925.68</v>
      </c>
    </row>
    <row r="464" spans="1:10" ht="20.25" customHeight="1">
      <c r="A464" s="471">
        <v>5111</v>
      </c>
      <c r="B464" s="472" t="s">
        <v>445</v>
      </c>
      <c r="C464" s="473">
        <v>1265</v>
      </c>
      <c r="D464" s="471" t="s">
        <v>577</v>
      </c>
      <c r="E464" s="472">
        <v>40403</v>
      </c>
      <c r="F464" s="475" t="s">
        <v>446</v>
      </c>
      <c r="G464" s="476">
        <v>41</v>
      </c>
      <c r="H464" s="475" t="s">
        <v>578</v>
      </c>
      <c r="I464" s="498" t="s">
        <v>579</v>
      </c>
      <c r="J464" s="499">
        <f t="shared" si="14"/>
        <v>925.68</v>
      </c>
    </row>
    <row r="465" spans="1:10" ht="20.25" customHeight="1">
      <c r="A465" s="471">
        <v>5111</v>
      </c>
      <c r="B465" s="472" t="s">
        <v>445</v>
      </c>
      <c r="C465" s="473">
        <v>1266</v>
      </c>
      <c r="D465" s="471" t="s">
        <v>577</v>
      </c>
      <c r="E465" s="472">
        <v>40403</v>
      </c>
      <c r="F465" s="475" t="s">
        <v>446</v>
      </c>
      <c r="G465" s="476">
        <v>41</v>
      </c>
      <c r="H465" s="475" t="s">
        <v>578</v>
      </c>
      <c r="I465" s="498" t="s">
        <v>579</v>
      </c>
      <c r="J465" s="499">
        <f t="shared" si="14"/>
        <v>925.68</v>
      </c>
    </row>
    <row r="466" spans="1:10" ht="20.25" customHeight="1">
      <c r="A466" s="471">
        <v>5111</v>
      </c>
      <c r="B466" s="472" t="s">
        <v>445</v>
      </c>
      <c r="C466" s="473">
        <v>1267</v>
      </c>
      <c r="D466" s="471" t="s">
        <v>577</v>
      </c>
      <c r="E466" s="472">
        <v>40403</v>
      </c>
      <c r="F466" s="475" t="s">
        <v>446</v>
      </c>
      <c r="G466" s="476">
        <v>41</v>
      </c>
      <c r="H466" s="475" t="s">
        <v>578</v>
      </c>
      <c r="I466" s="498" t="s">
        <v>579</v>
      </c>
      <c r="J466" s="499">
        <f t="shared" si="14"/>
        <v>925.68</v>
      </c>
    </row>
    <row r="467" spans="1:10" ht="20.25" customHeight="1">
      <c r="A467" s="471">
        <v>5111</v>
      </c>
      <c r="B467" s="472" t="s">
        <v>445</v>
      </c>
      <c r="C467" s="473">
        <v>1268</v>
      </c>
      <c r="D467" s="471" t="s">
        <v>577</v>
      </c>
      <c r="E467" s="472">
        <v>40403</v>
      </c>
      <c r="F467" s="475" t="s">
        <v>446</v>
      </c>
      <c r="G467" s="476">
        <v>41</v>
      </c>
      <c r="H467" s="475" t="s">
        <v>578</v>
      </c>
      <c r="I467" s="498" t="s">
        <v>579</v>
      </c>
      <c r="J467" s="499">
        <f t="shared" si="14"/>
        <v>925.68</v>
      </c>
    </row>
    <row r="468" spans="1:10" ht="20.25" customHeight="1">
      <c r="A468" s="471">
        <v>5111</v>
      </c>
      <c r="B468" s="472" t="s">
        <v>445</v>
      </c>
      <c r="C468" s="473">
        <v>1269</v>
      </c>
      <c r="D468" s="471" t="s">
        <v>577</v>
      </c>
      <c r="E468" s="472">
        <v>40403</v>
      </c>
      <c r="F468" s="475" t="s">
        <v>446</v>
      </c>
      <c r="G468" s="476">
        <v>41</v>
      </c>
      <c r="H468" s="475" t="s">
        <v>578</v>
      </c>
      <c r="I468" s="498" t="s">
        <v>579</v>
      </c>
      <c r="J468" s="499">
        <f t="shared" si="14"/>
        <v>925.68</v>
      </c>
    </row>
    <row r="469" spans="1:10" ht="20.25" customHeight="1">
      <c r="A469" s="471">
        <v>5111</v>
      </c>
      <c r="B469" s="472" t="s">
        <v>445</v>
      </c>
      <c r="C469" s="473">
        <v>1270</v>
      </c>
      <c r="D469" s="471" t="s">
        <v>577</v>
      </c>
      <c r="E469" s="472">
        <v>40403</v>
      </c>
      <c r="F469" s="475" t="s">
        <v>446</v>
      </c>
      <c r="G469" s="476">
        <v>41</v>
      </c>
      <c r="H469" s="475" t="s">
        <v>578</v>
      </c>
      <c r="I469" s="498" t="s">
        <v>579</v>
      </c>
      <c r="J469" s="499">
        <f t="shared" si="14"/>
        <v>925.68</v>
      </c>
    </row>
    <row r="470" spans="1:10" ht="20.25" customHeight="1">
      <c r="A470" s="471">
        <v>5111</v>
      </c>
      <c r="B470" s="472" t="s">
        <v>445</v>
      </c>
      <c r="C470" s="473">
        <v>1271</v>
      </c>
      <c r="D470" s="471" t="s">
        <v>577</v>
      </c>
      <c r="E470" s="472">
        <v>40403</v>
      </c>
      <c r="F470" s="475" t="s">
        <v>446</v>
      </c>
      <c r="G470" s="476">
        <v>41</v>
      </c>
      <c r="H470" s="475" t="s">
        <v>578</v>
      </c>
      <c r="I470" s="498" t="s">
        <v>579</v>
      </c>
      <c r="J470" s="499">
        <f t="shared" si="14"/>
        <v>925.68</v>
      </c>
    </row>
    <row r="471" spans="1:10" ht="20.25" customHeight="1">
      <c r="A471" s="471">
        <v>5111</v>
      </c>
      <c r="B471" s="472" t="s">
        <v>445</v>
      </c>
      <c r="C471" s="473">
        <v>1272</v>
      </c>
      <c r="D471" s="471" t="s">
        <v>577</v>
      </c>
      <c r="E471" s="472">
        <v>40403</v>
      </c>
      <c r="F471" s="475" t="s">
        <v>446</v>
      </c>
      <c r="G471" s="476">
        <v>41</v>
      </c>
      <c r="H471" s="475" t="s">
        <v>578</v>
      </c>
      <c r="I471" s="498" t="s">
        <v>579</v>
      </c>
      <c r="J471" s="499">
        <f t="shared" si="14"/>
        <v>925.68</v>
      </c>
    </row>
    <row r="472" spans="1:10" ht="20.25" customHeight="1">
      <c r="A472" s="471">
        <v>5111</v>
      </c>
      <c r="B472" s="472" t="s">
        <v>445</v>
      </c>
      <c r="C472" s="473">
        <v>1273</v>
      </c>
      <c r="D472" s="471" t="s">
        <v>577</v>
      </c>
      <c r="E472" s="472">
        <v>40403</v>
      </c>
      <c r="F472" s="475" t="s">
        <v>446</v>
      </c>
      <c r="G472" s="476">
        <v>41</v>
      </c>
      <c r="H472" s="475" t="s">
        <v>578</v>
      </c>
      <c r="I472" s="498" t="s">
        <v>579</v>
      </c>
      <c r="J472" s="499">
        <f t="shared" si="14"/>
        <v>925.68</v>
      </c>
    </row>
    <row r="473" spans="1:10" ht="20.25" customHeight="1">
      <c r="A473" s="471">
        <v>5111</v>
      </c>
      <c r="B473" s="472" t="s">
        <v>445</v>
      </c>
      <c r="C473" s="473">
        <v>1274</v>
      </c>
      <c r="D473" s="471" t="s">
        <v>577</v>
      </c>
      <c r="E473" s="472">
        <v>40403</v>
      </c>
      <c r="F473" s="475" t="s">
        <v>446</v>
      </c>
      <c r="G473" s="476">
        <v>42</v>
      </c>
      <c r="H473" s="475" t="s">
        <v>581</v>
      </c>
      <c r="I473" s="498" t="s">
        <v>582</v>
      </c>
      <c r="J473" s="499">
        <f t="shared" si="14"/>
        <v>925.68</v>
      </c>
    </row>
    <row r="474" spans="1:10" ht="20.25" customHeight="1">
      <c r="A474" s="471">
        <v>5111</v>
      </c>
      <c r="B474" s="472" t="s">
        <v>445</v>
      </c>
      <c r="C474" s="473">
        <v>1275</v>
      </c>
      <c r="D474" s="471" t="s">
        <v>577</v>
      </c>
      <c r="E474" s="472">
        <v>40403</v>
      </c>
      <c r="F474" s="475" t="s">
        <v>446</v>
      </c>
      <c r="G474" s="476">
        <v>42</v>
      </c>
      <c r="H474" s="475" t="s">
        <v>581</v>
      </c>
      <c r="I474" s="498" t="s">
        <v>582</v>
      </c>
      <c r="J474" s="499">
        <f t="shared" si="14"/>
        <v>925.68</v>
      </c>
    </row>
    <row r="475" spans="1:10" ht="20.25" customHeight="1">
      <c r="A475" s="471">
        <v>5111</v>
      </c>
      <c r="B475" s="472" t="s">
        <v>445</v>
      </c>
      <c r="C475" s="473">
        <v>1276</v>
      </c>
      <c r="D475" s="471" t="s">
        <v>577</v>
      </c>
      <c r="E475" s="472">
        <v>40403</v>
      </c>
      <c r="F475" s="475" t="s">
        <v>446</v>
      </c>
      <c r="G475" s="476">
        <v>42</v>
      </c>
      <c r="H475" s="475" t="s">
        <v>581</v>
      </c>
      <c r="I475" s="498" t="s">
        <v>582</v>
      </c>
      <c r="J475" s="499">
        <f t="shared" si="14"/>
        <v>925.68</v>
      </c>
    </row>
    <row r="476" spans="1:10" ht="20.25" customHeight="1">
      <c r="A476" s="471">
        <v>5111</v>
      </c>
      <c r="B476" s="472" t="s">
        <v>445</v>
      </c>
      <c r="C476" s="473">
        <v>1277</v>
      </c>
      <c r="D476" s="471" t="s">
        <v>577</v>
      </c>
      <c r="E476" s="472">
        <v>40403</v>
      </c>
      <c r="F476" s="475" t="s">
        <v>446</v>
      </c>
      <c r="G476" s="476">
        <v>42</v>
      </c>
      <c r="H476" s="475" t="s">
        <v>581</v>
      </c>
      <c r="I476" s="498" t="s">
        <v>582</v>
      </c>
      <c r="J476" s="499">
        <f t="shared" si="14"/>
        <v>925.68</v>
      </c>
    </row>
    <row r="477" spans="1:10" ht="20.25" customHeight="1">
      <c r="A477" s="471">
        <v>5111</v>
      </c>
      <c r="B477" s="472" t="s">
        <v>445</v>
      </c>
      <c r="C477" s="473">
        <v>1278</v>
      </c>
      <c r="D477" s="471" t="s">
        <v>577</v>
      </c>
      <c r="E477" s="472">
        <v>40403</v>
      </c>
      <c r="F477" s="475" t="s">
        <v>446</v>
      </c>
      <c r="G477" s="476">
        <v>43</v>
      </c>
      <c r="H477" s="475" t="s">
        <v>583</v>
      </c>
      <c r="I477" s="498" t="s">
        <v>584</v>
      </c>
      <c r="J477" s="499">
        <f t="shared" ref="J477:J482" si="15">3239.7*1.16</f>
        <v>3758.0519999999997</v>
      </c>
    </row>
    <row r="478" spans="1:10" ht="20.25" customHeight="1">
      <c r="A478" s="471">
        <v>5111</v>
      </c>
      <c r="B478" s="472" t="s">
        <v>445</v>
      </c>
      <c r="C478" s="473">
        <v>1279</v>
      </c>
      <c r="D478" s="471" t="s">
        <v>577</v>
      </c>
      <c r="E478" s="472">
        <v>40403</v>
      </c>
      <c r="F478" s="475" t="s">
        <v>446</v>
      </c>
      <c r="G478" s="476">
        <v>43</v>
      </c>
      <c r="H478" s="475" t="s">
        <v>583</v>
      </c>
      <c r="I478" s="498" t="s">
        <v>584</v>
      </c>
      <c r="J478" s="499">
        <f t="shared" si="15"/>
        <v>3758.0519999999997</v>
      </c>
    </row>
    <row r="479" spans="1:10" ht="20.25" customHeight="1">
      <c r="A479" s="471">
        <v>5111</v>
      </c>
      <c r="B479" s="472" t="s">
        <v>445</v>
      </c>
      <c r="C479" s="473">
        <v>1280</v>
      </c>
      <c r="D479" s="471" t="s">
        <v>577</v>
      </c>
      <c r="E479" s="472">
        <v>40403</v>
      </c>
      <c r="F479" s="475" t="s">
        <v>446</v>
      </c>
      <c r="G479" s="476">
        <v>43</v>
      </c>
      <c r="H479" s="475" t="s">
        <v>583</v>
      </c>
      <c r="I479" s="498" t="s">
        <v>584</v>
      </c>
      <c r="J479" s="499">
        <f t="shared" si="15"/>
        <v>3758.0519999999997</v>
      </c>
    </row>
    <row r="480" spans="1:10" ht="20.25" customHeight="1">
      <c r="A480" s="471">
        <v>5111</v>
      </c>
      <c r="B480" s="472" t="s">
        <v>445</v>
      </c>
      <c r="C480" s="473">
        <v>1281</v>
      </c>
      <c r="D480" s="471" t="s">
        <v>577</v>
      </c>
      <c r="E480" s="472">
        <v>40403</v>
      </c>
      <c r="F480" s="475" t="s">
        <v>446</v>
      </c>
      <c r="G480" s="476">
        <v>43</v>
      </c>
      <c r="H480" s="475" t="s">
        <v>583</v>
      </c>
      <c r="I480" s="498" t="s">
        <v>584</v>
      </c>
      <c r="J480" s="499">
        <f t="shared" si="15"/>
        <v>3758.0519999999997</v>
      </c>
    </row>
    <row r="481" spans="1:10" ht="20.25" customHeight="1">
      <c r="A481" s="471">
        <v>5111</v>
      </c>
      <c r="B481" s="472" t="s">
        <v>445</v>
      </c>
      <c r="C481" s="473">
        <v>1282</v>
      </c>
      <c r="D481" s="471" t="s">
        <v>577</v>
      </c>
      <c r="E481" s="472">
        <v>40403</v>
      </c>
      <c r="F481" s="475" t="s">
        <v>446</v>
      </c>
      <c r="G481" s="476">
        <v>43</v>
      </c>
      <c r="H481" s="475" t="s">
        <v>583</v>
      </c>
      <c r="I481" s="498" t="s">
        <v>584</v>
      </c>
      <c r="J481" s="499">
        <f t="shared" si="15"/>
        <v>3758.0519999999997</v>
      </c>
    </row>
    <row r="482" spans="1:10" ht="20.25" customHeight="1">
      <c r="A482" s="471">
        <v>5111</v>
      </c>
      <c r="B482" s="472" t="s">
        <v>445</v>
      </c>
      <c r="C482" s="473">
        <v>1283</v>
      </c>
      <c r="D482" s="471" t="s">
        <v>577</v>
      </c>
      <c r="E482" s="472">
        <v>40403</v>
      </c>
      <c r="F482" s="475" t="s">
        <v>446</v>
      </c>
      <c r="G482" s="476">
        <v>44</v>
      </c>
      <c r="H482" s="475" t="s">
        <v>585</v>
      </c>
      <c r="I482" s="498" t="s">
        <v>586</v>
      </c>
      <c r="J482" s="499">
        <f t="shared" si="15"/>
        <v>3758.0519999999997</v>
      </c>
    </row>
    <row r="483" spans="1:10" ht="20.25" customHeight="1">
      <c r="A483" s="471">
        <v>5111</v>
      </c>
      <c r="B483" s="472" t="s">
        <v>445</v>
      </c>
      <c r="C483" s="473">
        <v>1284</v>
      </c>
      <c r="D483" s="471" t="s">
        <v>577</v>
      </c>
      <c r="E483" s="472">
        <v>40403</v>
      </c>
      <c r="F483" s="475" t="s">
        <v>446</v>
      </c>
      <c r="G483" s="476">
        <v>45</v>
      </c>
      <c r="H483" s="475" t="s">
        <v>587</v>
      </c>
      <c r="I483" s="498" t="s">
        <v>588</v>
      </c>
      <c r="J483" s="499">
        <f>2260.2*1.16</f>
        <v>2621.8319999999994</v>
      </c>
    </row>
    <row r="484" spans="1:10" ht="20.25" customHeight="1">
      <c r="A484" s="471">
        <v>5111</v>
      </c>
      <c r="B484" s="472" t="s">
        <v>445</v>
      </c>
      <c r="C484" s="473">
        <v>1285</v>
      </c>
      <c r="D484" s="471">
        <v>1634</v>
      </c>
      <c r="E484" s="472">
        <v>40462</v>
      </c>
      <c r="F484" s="475" t="s">
        <v>468</v>
      </c>
      <c r="G484" s="476">
        <v>185</v>
      </c>
      <c r="H484" s="475" t="s">
        <v>589</v>
      </c>
      <c r="I484" s="498" t="s">
        <v>590</v>
      </c>
      <c r="J484" s="499">
        <f>7142.86*1.16</f>
        <v>8285.7175999999999</v>
      </c>
    </row>
    <row r="485" spans="1:10" ht="20.25" customHeight="1">
      <c r="A485" s="471">
        <v>5111</v>
      </c>
      <c r="B485" s="472" t="s">
        <v>445</v>
      </c>
      <c r="C485" s="473">
        <v>1393</v>
      </c>
      <c r="D485" s="471" t="s">
        <v>591</v>
      </c>
      <c r="E485" s="474">
        <v>41263</v>
      </c>
      <c r="F485" s="475" t="s">
        <v>446</v>
      </c>
      <c r="G485" s="476">
        <v>51</v>
      </c>
      <c r="H485" s="475" t="s">
        <v>592</v>
      </c>
      <c r="I485" s="478" t="s">
        <v>593</v>
      </c>
      <c r="J485" s="496">
        <f t="shared" ref="J485:J544" si="16">928*1.16</f>
        <v>1076.48</v>
      </c>
    </row>
    <row r="486" spans="1:10" ht="20.25" customHeight="1">
      <c r="A486" s="471">
        <v>5111</v>
      </c>
      <c r="B486" s="472" t="s">
        <v>445</v>
      </c>
      <c r="C486" s="473">
        <v>1394</v>
      </c>
      <c r="D486" s="471" t="s">
        <v>591</v>
      </c>
      <c r="E486" s="474">
        <v>41263</v>
      </c>
      <c r="F486" s="475" t="s">
        <v>446</v>
      </c>
      <c r="G486" s="476">
        <v>51</v>
      </c>
      <c r="H486" s="475" t="s">
        <v>592</v>
      </c>
      <c r="I486" s="478" t="s">
        <v>593</v>
      </c>
      <c r="J486" s="496">
        <f t="shared" si="16"/>
        <v>1076.48</v>
      </c>
    </row>
    <row r="487" spans="1:10" ht="20.25" customHeight="1">
      <c r="A487" s="471">
        <v>5111</v>
      </c>
      <c r="B487" s="472" t="s">
        <v>445</v>
      </c>
      <c r="C487" s="473">
        <v>1395</v>
      </c>
      <c r="D487" s="471" t="s">
        <v>591</v>
      </c>
      <c r="E487" s="474">
        <v>41263</v>
      </c>
      <c r="F487" s="475" t="s">
        <v>446</v>
      </c>
      <c r="G487" s="476">
        <v>51</v>
      </c>
      <c r="H487" s="475" t="s">
        <v>592</v>
      </c>
      <c r="I487" s="478" t="s">
        <v>593</v>
      </c>
      <c r="J487" s="496">
        <f t="shared" si="16"/>
        <v>1076.48</v>
      </c>
    </row>
    <row r="488" spans="1:10" ht="20.25" customHeight="1">
      <c r="A488" s="471">
        <v>5111</v>
      </c>
      <c r="B488" s="472" t="s">
        <v>445</v>
      </c>
      <c r="C488" s="473">
        <v>1396</v>
      </c>
      <c r="D488" s="471" t="s">
        <v>591</v>
      </c>
      <c r="E488" s="474">
        <v>41263</v>
      </c>
      <c r="F488" s="475" t="s">
        <v>446</v>
      </c>
      <c r="G488" s="476">
        <v>51</v>
      </c>
      <c r="H488" s="475" t="s">
        <v>592</v>
      </c>
      <c r="I488" s="478" t="s">
        <v>593</v>
      </c>
      <c r="J488" s="496">
        <f t="shared" si="16"/>
        <v>1076.48</v>
      </c>
    </row>
    <row r="489" spans="1:10" ht="20.25" customHeight="1">
      <c r="A489" s="471">
        <v>5111</v>
      </c>
      <c r="B489" s="472" t="s">
        <v>445</v>
      </c>
      <c r="C489" s="473">
        <v>1397</v>
      </c>
      <c r="D489" s="471" t="s">
        <v>591</v>
      </c>
      <c r="E489" s="474">
        <v>41263</v>
      </c>
      <c r="F489" s="475" t="s">
        <v>446</v>
      </c>
      <c r="G489" s="476">
        <v>51</v>
      </c>
      <c r="H489" s="475" t="s">
        <v>592</v>
      </c>
      <c r="I489" s="478" t="s">
        <v>593</v>
      </c>
      <c r="J489" s="496">
        <f t="shared" si="16"/>
        <v>1076.48</v>
      </c>
    </row>
    <row r="490" spans="1:10" ht="20.25" customHeight="1">
      <c r="A490" s="471">
        <v>5111</v>
      </c>
      <c r="B490" s="472" t="s">
        <v>445</v>
      </c>
      <c r="C490" s="473">
        <v>1398</v>
      </c>
      <c r="D490" s="471" t="s">
        <v>591</v>
      </c>
      <c r="E490" s="474">
        <v>41263</v>
      </c>
      <c r="F490" s="475" t="s">
        <v>446</v>
      </c>
      <c r="G490" s="476">
        <v>51</v>
      </c>
      <c r="H490" s="475" t="s">
        <v>592</v>
      </c>
      <c r="I490" s="478" t="s">
        <v>593</v>
      </c>
      <c r="J490" s="496">
        <f t="shared" si="16"/>
        <v>1076.48</v>
      </c>
    </row>
    <row r="491" spans="1:10" ht="20.25" customHeight="1">
      <c r="A491" s="471">
        <v>5111</v>
      </c>
      <c r="B491" s="472" t="s">
        <v>445</v>
      </c>
      <c r="C491" s="473">
        <v>1399</v>
      </c>
      <c r="D491" s="471" t="s">
        <v>591</v>
      </c>
      <c r="E491" s="474">
        <v>41263</v>
      </c>
      <c r="F491" s="475" t="s">
        <v>446</v>
      </c>
      <c r="G491" s="476">
        <v>51</v>
      </c>
      <c r="H491" s="475" t="s">
        <v>592</v>
      </c>
      <c r="I491" s="478" t="s">
        <v>593</v>
      </c>
      <c r="J491" s="496">
        <f t="shared" si="16"/>
        <v>1076.48</v>
      </c>
    </row>
    <row r="492" spans="1:10" ht="20.25" customHeight="1">
      <c r="A492" s="471">
        <v>5111</v>
      </c>
      <c r="B492" s="472" t="s">
        <v>445</v>
      </c>
      <c r="C492" s="473">
        <v>1400</v>
      </c>
      <c r="D492" s="471" t="s">
        <v>591</v>
      </c>
      <c r="E492" s="474">
        <v>41263</v>
      </c>
      <c r="F492" s="475" t="s">
        <v>446</v>
      </c>
      <c r="G492" s="476">
        <v>51</v>
      </c>
      <c r="H492" s="475" t="s">
        <v>592</v>
      </c>
      <c r="I492" s="478" t="s">
        <v>593</v>
      </c>
      <c r="J492" s="496">
        <f t="shared" si="16"/>
        <v>1076.48</v>
      </c>
    </row>
    <row r="493" spans="1:10" ht="20.25" customHeight="1">
      <c r="A493" s="471">
        <v>5111</v>
      </c>
      <c r="B493" s="472" t="s">
        <v>445</v>
      </c>
      <c r="C493" s="473">
        <v>1401</v>
      </c>
      <c r="D493" s="471" t="s">
        <v>591</v>
      </c>
      <c r="E493" s="474">
        <v>41263</v>
      </c>
      <c r="F493" s="475" t="s">
        <v>446</v>
      </c>
      <c r="G493" s="476">
        <v>51</v>
      </c>
      <c r="H493" s="475" t="s">
        <v>592</v>
      </c>
      <c r="I493" s="478" t="s">
        <v>593</v>
      </c>
      <c r="J493" s="496">
        <f t="shared" si="16"/>
        <v>1076.48</v>
      </c>
    </row>
    <row r="494" spans="1:10" ht="20.25" customHeight="1">
      <c r="A494" s="471">
        <v>5111</v>
      </c>
      <c r="B494" s="472" t="s">
        <v>445</v>
      </c>
      <c r="C494" s="473">
        <v>1402</v>
      </c>
      <c r="D494" s="471" t="s">
        <v>591</v>
      </c>
      <c r="E494" s="474">
        <v>41263</v>
      </c>
      <c r="F494" s="475" t="s">
        <v>446</v>
      </c>
      <c r="G494" s="476">
        <v>51</v>
      </c>
      <c r="H494" s="475" t="s">
        <v>592</v>
      </c>
      <c r="I494" s="478" t="s">
        <v>593</v>
      </c>
      <c r="J494" s="496">
        <f t="shared" si="16"/>
        <v>1076.48</v>
      </c>
    </row>
    <row r="495" spans="1:10" ht="20.25" customHeight="1">
      <c r="A495" s="471">
        <v>5111</v>
      </c>
      <c r="B495" s="472" t="s">
        <v>445</v>
      </c>
      <c r="C495" s="473">
        <v>1403</v>
      </c>
      <c r="D495" s="471" t="s">
        <v>591</v>
      </c>
      <c r="E495" s="474">
        <v>41263</v>
      </c>
      <c r="F495" s="475" t="s">
        <v>446</v>
      </c>
      <c r="G495" s="476">
        <v>51</v>
      </c>
      <c r="H495" s="475" t="s">
        <v>592</v>
      </c>
      <c r="I495" s="478" t="s">
        <v>593</v>
      </c>
      <c r="J495" s="496">
        <f t="shared" si="16"/>
        <v>1076.48</v>
      </c>
    </row>
    <row r="496" spans="1:10" ht="20.25" customHeight="1">
      <c r="A496" s="471">
        <v>5111</v>
      </c>
      <c r="B496" s="472" t="s">
        <v>445</v>
      </c>
      <c r="C496" s="473">
        <v>1404</v>
      </c>
      <c r="D496" s="471" t="s">
        <v>591</v>
      </c>
      <c r="E496" s="474">
        <v>41263</v>
      </c>
      <c r="F496" s="475" t="s">
        <v>446</v>
      </c>
      <c r="G496" s="476">
        <v>51</v>
      </c>
      <c r="H496" s="475" t="s">
        <v>592</v>
      </c>
      <c r="I496" s="478" t="s">
        <v>593</v>
      </c>
      <c r="J496" s="496">
        <f t="shared" si="16"/>
        <v>1076.48</v>
      </c>
    </row>
    <row r="497" spans="1:10" ht="20.25" customHeight="1">
      <c r="A497" s="471">
        <v>5111</v>
      </c>
      <c r="B497" s="472" t="s">
        <v>445</v>
      </c>
      <c r="C497" s="473">
        <v>1405</v>
      </c>
      <c r="D497" s="471" t="s">
        <v>591</v>
      </c>
      <c r="E497" s="474">
        <v>41263</v>
      </c>
      <c r="F497" s="475" t="s">
        <v>446</v>
      </c>
      <c r="G497" s="476">
        <v>51</v>
      </c>
      <c r="H497" s="475" t="s">
        <v>592</v>
      </c>
      <c r="I497" s="478" t="s">
        <v>593</v>
      </c>
      <c r="J497" s="496">
        <f t="shared" si="16"/>
        <v>1076.48</v>
      </c>
    </row>
    <row r="498" spans="1:10" ht="20.25" customHeight="1">
      <c r="A498" s="471">
        <v>5111</v>
      </c>
      <c r="B498" s="472" t="s">
        <v>445</v>
      </c>
      <c r="C498" s="473">
        <v>1406</v>
      </c>
      <c r="D498" s="471" t="s">
        <v>591</v>
      </c>
      <c r="E498" s="474">
        <v>41263</v>
      </c>
      <c r="F498" s="475" t="s">
        <v>446</v>
      </c>
      <c r="G498" s="476">
        <v>51</v>
      </c>
      <c r="H498" s="475" t="s">
        <v>592</v>
      </c>
      <c r="I498" s="478" t="s">
        <v>593</v>
      </c>
      <c r="J498" s="496">
        <f t="shared" si="16"/>
        <v>1076.48</v>
      </c>
    </row>
    <row r="499" spans="1:10" ht="20.25" customHeight="1">
      <c r="A499" s="471">
        <v>5111</v>
      </c>
      <c r="B499" s="472" t="s">
        <v>445</v>
      </c>
      <c r="C499" s="473">
        <v>1407</v>
      </c>
      <c r="D499" s="471" t="s">
        <v>591</v>
      </c>
      <c r="E499" s="474">
        <v>41263</v>
      </c>
      <c r="F499" s="475" t="s">
        <v>446</v>
      </c>
      <c r="G499" s="476">
        <v>51</v>
      </c>
      <c r="H499" s="475" t="s">
        <v>592</v>
      </c>
      <c r="I499" s="478" t="s">
        <v>593</v>
      </c>
      <c r="J499" s="496">
        <f t="shared" si="16"/>
        <v>1076.48</v>
      </c>
    </row>
    <row r="500" spans="1:10" ht="20.25" customHeight="1">
      <c r="A500" s="471">
        <v>5111</v>
      </c>
      <c r="B500" s="472" t="s">
        <v>445</v>
      </c>
      <c r="C500" s="473">
        <v>1408</v>
      </c>
      <c r="D500" s="471" t="s">
        <v>591</v>
      </c>
      <c r="E500" s="474">
        <v>41263</v>
      </c>
      <c r="F500" s="475" t="s">
        <v>446</v>
      </c>
      <c r="G500" s="476">
        <v>51</v>
      </c>
      <c r="H500" s="475" t="s">
        <v>592</v>
      </c>
      <c r="I500" s="478" t="s">
        <v>593</v>
      </c>
      <c r="J500" s="496">
        <f t="shared" si="16"/>
        <v>1076.48</v>
      </c>
    </row>
    <row r="501" spans="1:10" ht="20.25" customHeight="1">
      <c r="A501" s="471">
        <v>5111</v>
      </c>
      <c r="B501" s="472" t="s">
        <v>445</v>
      </c>
      <c r="C501" s="473">
        <v>1409</v>
      </c>
      <c r="D501" s="471" t="s">
        <v>591</v>
      </c>
      <c r="E501" s="474">
        <v>41263</v>
      </c>
      <c r="F501" s="475" t="s">
        <v>446</v>
      </c>
      <c r="G501" s="476">
        <v>51</v>
      </c>
      <c r="H501" s="475" t="s">
        <v>592</v>
      </c>
      <c r="I501" s="478" t="s">
        <v>593</v>
      </c>
      <c r="J501" s="496">
        <f t="shared" si="16"/>
        <v>1076.48</v>
      </c>
    </row>
    <row r="502" spans="1:10" ht="20.25" customHeight="1">
      <c r="A502" s="471">
        <v>5111</v>
      </c>
      <c r="B502" s="472" t="s">
        <v>445</v>
      </c>
      <c r="C502" s="473">
        <v>1410</v>
      </c>
      <c r="D502" s="471" t="s">
        <v>591</v>
      </c>
      <c r="E502" s="474">
        <v>41263</v>
      </c>
      <c r="F502" s="475" t="s">
        <v>446</v>
      </c>
      <c r="G502" s="476">
        <v>51</v>
      </c>
      <c r="H502" s="475" t="s">
        <v>592</v>
      </c>
      <c r="I502" s="478" t="s">
        <v>593</v>
      </c>
      <c r="J502" s="496">
        <f t="shared" si="16"/>
        <v>1076.48</v>
      </c>
    </row>
    <row r="503" spans="1:10" ht="20.25" customHeight="1">
      <c r="A503" s="471">
        <v>5111</v>
      </c>
      <c r="B503" s="472" t="s">
        <v>445</v>
      </c>
      <c r="C503" s="473">
        <v>1411</v>
      </c>
      <c r="D503" s="471" t="s">
        <v>591</v>
      </c>
      <c r="E503" s="474">
        <v>41263</v>
      </c>
      <c r="F503" s="475" t="s">
        <v>446</v>
      </c>
      <c r="G503" s="476">
        <v>51</v>
      </c>
      <c r="H503" s="475" t="s">
        <v>592</v>
      </c>
      <c r="I503" s="478" t="s">
        <v>593</v>
      </c>
      <c r="J503" s="496">
        <f t="shared" si="16"/>
        <v>1076.48</v>
      </c>
    </row>
    <row r="504" spans="1:10" ht="20.25" customHeight="1">
      <c r="A504" s="471">
        <v>5111</v>
      </c>
      <c r="B504" s="472" t="s">
        <v>445</v>
      </c>
      <c r="C504" s="473">
        <v>1412</v>
      </c>
      <c r="D504" s="471" t="s">
        <v>591</v>
      </c>
      <c r="E504" s="474">
        <v>41263</v>
      </c>
      <c r="F504" s="475" t="s">
        <v>446</v>
      </c>
      <c r="G504" s="476">
        <v>51</v>
      </c>
      <c r="H504" s="475" t="s">
        <v>592</v>
      </c>
      <c r="I504" s="478" t="s">
        <v>593</v>
      </c>
      <c r="J504" s="496">
        <f t="shared" si="16"/>
        <v>1076.48</v>
      </c>
    </row>
    <row r="505" spans="1:10" ht="20.25" customHeight="1">
      <c r="A505" s="471">
        <v>5111</v>
      </c>
      <c r="B505" s="472" t="s">
        <v>445</v>
      </c>
      <c r="C505" s="473">
        <v>1413</v>
      </c>
      <c r="D505" s="471" t="s">
        <v>591</v>
      </c>
      <c r="E505" s="474">
        <v>41263</v>
      </c>
      <c r="F505" s="475" t="s">
        <v>446</v>
      </c>
      <c r="G505" s="476">
        <v>51</v>
      </c>
      <c r="H505" s="475" t="s">
        <v>592</v>
      </c>
      <c r="I505" s="478" t="s">
        <v>593</v>
      </c>
      <c r="J505" s="496">
        <f t="shared" si="16"/>
        <v>1076.48</v>
      </c>
    </row>
    <row r="506" spans="1:10" ht="20.25" customHeight="1">
      <c r="A506" s="471">
        <v>5111</v>
      </c>
      <c r="B506" s="472" t="s">
        <v>445</v>
      </c>
      <c r="C506" s="473">
        <v>1414</v>
      </c>
      <c r="D506" s="471" t="s">
        <v>591</v>
      </c>
      <c r="E506" s="474">
        <v>41263</v>
      </c>
      <c r="F506" s="475" t="s">
        <v>446</v>
      </c>
      <c r="G506" s="476">
        <v>51</v>
      </c>
      <c r="H506" s="475" t="s">
        <v>592</v>
      </c>
      <c r="I506" s="478" t="s">
        <v>593</v>
      </c>
      <c r="J506" s="496">
        <f t="shared" si="16"/>
        <v>1076.48</v>
      </c>
    </row>
    <row r="507" spans="1:10" ht="20.25" customHeight="1">
      <c r="A507" s="471">
        <v>5111</v>
      </c>
      <c r="B507" s="472" t="s">
        <v>445</v>
      </c>
      <c r="C507" s="473">
        <v>1415</v>
      </c>
      <c r="D507" s="471" t="s">
        <v>591</v>
      </c>
      <c r="E507" s="474">
        <v>41263</v>
      </c>
      <c r="F507" s="475" t="s">
        <v>446</v>
      </c>
      <c r="G507" s="476">
        <v>51</v>
      </c>
      <c r="H507" s="475" t="s">
        <v>592</v>
      </c>
      <c r="I507" s="478" t="s">
        <v>593</v>
      </c>
      <c r="J507" s="496">
        <f t="shared" si="16"/>
        <v>1076.48</v>
      </c>
    </row>
    <row r="508" spans="1:10" ht="20.25" customHeight="1">
      <c r="A508" s="471">
        <v>5111</v>
      </c>
      <c r="B508" s="472" t="s">
        <v>445</v>
      </c>
      <c r="C508" s="473">
        <v>1416</v>
      </c>
      <c r="D508" s="471" t="s">
        <v>591</v>
      </c>
      <c r="E508" s="474">
        <v>41263</v>
      </c>
      <c r="F508" s="475" t="s">
        <v>446</v>
      </c>
      <c r="G508" s="476">
        <v>51</v>
      </c>
      <c r="H508" s="475" t="s">
        <v>592</v>
      </c>
      <c r="I508" s="478" t="s">
        <v>593</v>
      </c>
      <c r="J508" s="496">
        <f t="shared" si="16"/>
        <v>1076.48</v>
      </c>
    </row>
    <row r="509" spans="1:10" ht="20.25" customHeight="1">
      <c r="A509" s="471">
        <v>5111</v>
      </c>
      <c r="B509" s="472" t="s">
        <v>445</v>
      </c>
      <c r="C509" s="473">
        <v>1417</v>
      </c>
      <c r="D509" s="471" t="s">
        <v>591</v>
      </c>
      <c r="E509" s="474">
        <v>41263</v>
      </c>
      <c r="F509" s="475" t="s">
        <v>446</v>
      </c>
      <c r="G509" s="476">
        <v>51</v>
      </c>
      <c r="H509" s="475" t="s">
        <v>592</v>
      </c>
      <c r="I509" s="478" t="s">
        <v>593</v>
      </c>
      <c r="J509" s="496">
        <f t="shared" si="16"/>
        <v>1076.48</v>
      </c>
    </row>
    <row r="510" spans="1:10" ht="20.25" customHeight="1">
      <c r="A510" s="471">
        <v>5111</v>
      </c>
      <c r="B510" s="472" t="s">
        <v>445</v>
      </c>
      <c r="C510" s="473">
        <v>1418</v>
      </c>
      <c r="D510" s="471" t="s">
        <v>591</v>
      </c>
      <c r="E510" s="474">
        <v>41263</v>
      </c>
      <c r="F510" s="475" t="s">
        <v>446</v>
      </c>
      <c r="G510" s="476">
        <v>51</v>
      </c>
      <c r="H510" s="475" t="s">
        <v>592</v>
      </c>
      <c r="I510" s="478" t="s">
        <v>593</v>
      </c>
      <c r="J510" s="496">
        <f t="shared" si="16"/>
        <v>1076.48</v>
      </c>
    </row>
    <row r="511" spans="1:10" ht="20.25" customHeight="1">
      <c r="A511" s="471">
        <v>5111</v>
      </c>
      <c r="B511" s="472" t="s">
        <v>445</v>
      </c>
      <c r="C511" s="473">
        <v>1419</v>
      </c>
      <c r="D511" s="471" t="s">
        <v>591</v>
      </c>
      <c r="E511" s="474">
        <v>41263</v>
      </c>
      <c r="F511" s="475" t="s">
        <v>446</v>
      </c>
      <c r="G511" s="476">
        <v>51</v>
      </c>
      <c r="H511" s="475" t="s">
        <v>592</v>
      </c>
      <c r="I511" s="478" t="s">
        <v>593</v>
      </c>
      <c r="J511" s="496">
        <f t="shared" si="16"/>
        <v>1076.48</v>
      </c>
    </row>
    <row r="512" spans="1:10" ht="20.25" customHeight="1">
      <c r="A512" s="471">
        <v>5111</v>
      </c>
      <c r="B512" s="472" t="s">
        <v>445</v>
      </c>
      <c r="C512" s="473">
        <v>1420</v>
      </c>
      <c r="D512" s="471" t="s">
        <v>591</v>
      </c>
      <c r="E512" s="474">
        <v>41263</v>
      </c>
      <c r="F512" s="475" t="s">
        <v>446</v>
      </c>
      <c r="G512" s="476">
        <v>51</v>
      </c>
      <c r="H512" s="475" t="s">
        <v>592</v>
      </c>
      <c r="I512" s="478" t="s">
        <v>593</v>
      </c>
      <c r="J512" s="496">
        <f t="shared" si="16"/>
        <v>1076.48</v>
      </c>
    </row>
    <row r="513" spans="1:10" ht="20.25" customHeight="1">
      <c r="A513" s="471">
        <v>5111</v>
      </c>
      <c r="B513" s="472" t="s">
        <v>445</v>
      </c>
      <c r="C513" s="473">
        <v>1421</v>
      </c>
      <c r="D513" s="471" t="s">
        <v>591</v>
      </c>
      <c r="E513" s="474">
        <v>41263</v>
      </c>
      <c r="F513" s="475" t="s">
        <v>446</v>
      </c>
      <c r="G513" s="476">
        <v>51</v>
      </c>
      <c r="H513" s="475" t="s">
        <v>592</v>
      </c>
      <c r="I513" s="478" t="s">
        <v>593</v>
      </c>
      <c r="J513" s="496">
        <f t="shared" si="16"/>
        <v>1076.48</v>
      </c>
    </row>
    <row r="514" spans="1:10" ht="20.25" customHeight="1">
      <c r="A514" s="471">
        <v>5111</v>
      </c>
      <c r="B514" s="472" t="s">
        <v>445</v>
      </c>
      <c r="C514" s="473">
        <v>1422</v>
      </c>
      <c r="D514" s="471" t="s">
        <v>591</v>
      </c>
      <c r="E514" s="474">
        <v>41263</v>
      </c>
      <c r="F514" s="475" t="s">
        <v>446</v>
      </c>
      <c r="G514" s="476">
        <v>51</v>
      </c>
      <c r="H514" s="475" t="s">
        <v>592</v>
      </c>
      <c r="I514" s="478" t="s">
        <v>593</v>
      </c>
      <c r="J514" s="496">
        <f t="shared" si="16"/>
        <v>1076.48</v>
      </c>
    </row>
    <row r="515" spans="1:10" ht="20.25" customHeight="1">
      <c r="A515" s="471">
        <v>5111</v>
      </c>
      <c r="B515" s="472" t="s">
        <v>445</v>
      </c>
      <c r="C515" s="473">
        <v>1423</v>
      </c>
      <c r="D515" s="471" t="s">
        <v>591</v>
      </c>
      <c r="E515" s="474">
        <v>41263</v>
      </c>
      <c r="F515" s="475" t="s">
        <v>446</v>
      </c>
      <c r="G515" s="476">
        <v>51</v>
      </c>
      <c r="H515" s="475" t="s">
        <v>592</v>
      </c>
      <c r="I515" s="478" t="s">
        <v>593</v>
      </c>
      <c r="J515" s="496">
        <f t="shared" si="16"/>
        <v>1076.48</v>
      </c>
    </row>
    <row r="516" spans="1:10" ht="20.25" customHeight="1">
      <c r="A516" s="471">
        <v>5111</v>
      </c>
      <c r="B516" s="472" t="s">
        <v>445</v>
      </c>
      <c r="C516" s="473">
        <v>1424</v>
      </c>
      <c r="D516" s="471" t="s">
        <v>591</v>
      </c>
      <c r="E516" s="474">
        <v>41263</v>
      </c>
      <c r="F516" s="475" t="s">
        <v>446</v>
      </c>
      <c r="G516" s="476">
        <v>51</v>
      </c>
      <c r="H516" s="475" t="s">
        <v>592</v>
      </c>
      <c r="I516" s="478" t="s">
        <v>593</v>
      </c>
      <c r="J516" s="496">
        <f t="shared" si="16"/>
        <v>1076.48</v>
      </c>
    </row>
    <row r="517" spans="1:10" ht="20.25" customHeight="1">
      <c r="A517" s="471">
        <v>5111</v>
      </c>
      <c r="B517" s="472" t="s">
        <v>445</v>
      </c>
      <c r="C517" s="473">
        <v>1425</v>
      </c>
      <c r="D517" s="471" t="s">
        <v>591</v>
      </c>
      <c r="E517" s="474">
        <v>41263</v>
      </c>
      <c r="F517" s="475" t="s">
        <v>446</v>
      </c>
      <c r="G517" s="476">
        <v>51</v>
      </c>
      <c r="H517" s="475" t="s">
        <v>592</v>
      </c>
      <c r="I517" s="478" t="s">
        <v>593</v>
      </c>
      <c r="J517" s="496">
        <f t="shared" si="16"/>
        <v>1076.48</v>
      </c>
    </row>
    <row r="518" spans="1:10" ht="20.25" customHeight="1">
      <c r="A518" s="471">
        <v>5111</v>
      </c>
      <c r="B518" s="472" t="s">
        <v>445</v>
      </c>
      <c r="C518" s="473">
        <v>1426</v>
      </c>
      <c r="D518" s="471" t="s">
        <v>591</v>
      </c>
      <c r="E518" s="474">
        <v>41263</v>
      </c>
      <c r="F518" s="475" t="s">
        <v>446</v>
      </c>
      <c r="G518" s="476">
        <v>51</v>
      </c>
      <c r="H518" s="475" t="s">
        <v>592</v>
      </c>
      <c r="I518" s="478" t="s">
        <v>593</v>
      </c>
      <c r="J518" s="496">
        <f t="shared" si="16"/>
        <v>1076.48</v>
      </c>
    </row>
    <row r="519" spans="1:10" ht="20.25" customHeight="1">
      <c r="A519" s="471">
        <v>5111</v>
      </c>
      <c r="B519" s="472" t="s">
        <v>445</v>
      </c>
      <c r="C519" s="473">
        <v>1427</v>
      </c>
      <c r="D519" s="471" t="s">
        <v>591</v>
      </c>
      <c r="E519" s="474">
        <v>41263</v>
      </c>
      <c r="F519" s="475" t="s">
        <v>446</v>
      </c>
      <c r="G519" s="476">
        <v>51</v>
      </c>
      <c r="H519" s="475" t="s">
        <v>592</v>
      </c>
      <c r="I519" s="478" t="s">
        <v>593</v>
      </c>
      <c r="J519" s="496">
        <f t="shared" si="16"/>
        <v>1076.48</v>
      </c>
    </row>
    <row r="520" spans="1:10" ht="20.25" customHeight="1">
      <c r="A520" s="471">
        <v>5111</v>
      </c>
      <c r="B520" s="472" t="s">
        <v>445</v>
      </c>
      <c r="C520" s="473">
        <v>1428</v>
      </c>
      <c r="D520" s="471" t="s">
        <v>591</v>
      </c>
      <c r="E520" s="474">
        <v>41263</v>
      </c>
      <c r="F520" s="475" t="s">
        <v>446</v>
      </c>
      <c r="G520" s="476">
        <v>51</v>
      </c>
      <c r="H520" s="475" t="s">
        <v>592</v>
      </c>
      <c r="I520" s="478" t="s">
        <v>593</v>
      </c>
      <c r="J520" s="496">
        <f t="shared" si="16"/>
        <v>1076.48</v>
      </c>
    </row>
    <row r="521" spans="1:10" ht="20.25" customHeight="1">
      <c r="A521" s="471">
        <v>5111</v>
      </c>
      <c r="B521" s="472" t="s">
        <v>445</v>
      </c>
      <c r="C521" s="473">
        <v>1429</v>
      </c>
      <c r="D521" s="471" t="s">
        <v>591</v>
      </c>
      <c r="E521" s="474">
        <v>41263</v>
      </c>
      <c r="F521" s="475" t="s">
        <v>446</v>
      </c>
      <c r="G521" s="476">
        <v>51</v>
      </c>
      <c r="H521" s="475" t="s">
        <v>592</v>
      </c>
      <c r="I521" s="478" t="s">
        <v>593</v>
      </c>
      <c r="J521" s="496">
        <f t="shared" si="16"/>
        <v>1076.48</v>
      </c>
    </row>
    <row r="522" spans="1:10" ht="20.25" customHeight="1">
      <c r="A522" s="471">
        <v>5111</v>
      </c>
      <c r="B522" s="472" t="s">
        <v>445</v>
      </c>
      <c r="C522" s="473">
        <v>1430</v>
      </c>
      <c r="D522" s="471" t="s">
        <v>591</v>
      </c>
      <c r="E522" s="474">
        <v>41263</v>
      </c>
      <c r="F522" s="475" t="s">
        <v>446</v>
      </c>
      <c r="G522" s="476">
        <v>51</v>
      </c>
      <c r="H522" s="475" t="s">
        <v>592</v>
      </c>
      <c r="I522" s="478" t="s">
        <v>593</v>
      </c>
      <c r="J522" s="496">
        <f t="shared" si="16"/>
        <v>1076.48</v>
      </c>
    </row>
    <row r="523" spans="1:10" ht="20.25" customHeight="1">
      <c r="A523" s="471">
        <v>5111</v>
      </c>
      <c r="B523" s="472" t="s">
        <v>445</v>
      </c>
      <c r="C523" s="473">
        <v>1431</v>
      </c>
      <c r="D523" s="471" t="s">
        <v>591</v>
      </c>
      <c r="E523" s="474">
        <v>41263</v>
      </c>
      <c r="F523" s="475" t="s">
        <v>446</v>
      </c>
      <c r="G523" s="476">
        <v>51</v>
      </c>
      <c r="H523" s="475" t="s">
        <v>592</v>
      </c>
      <c r="I523" s="478" t="s">
        <v>593</v>
      </c>
      <c r="J523" s="496">
        <f t="shared" si="16"/>
        <v>1076.48</v>
      </c>
    </row>
    <row r="524" spans="1:10" ht="20.25" customHeight="1">
      <c r="A524" s="471">
        <v>5111</v>
      </c>
      <c r="B524" s="472" t="s">
        <v>445</v>
      </c>
      <c r="C524" s="473">
        <v>1432</v>
      </c>
      <c r="D524" s="471" t="s">
        <v>591</v>
      </c>
      <c r="E524" s="474">
        <v>41263</v>
      </c>
      <c r="F524" s="475" t="s">
        <v>446</v>
      </c>
      <c r="G524" s="476">
        <v>51</v>
      </c>
      <c r="H524" s="475" t="s">
        <v>592</v>
      </c>
      <c r="I524" s="478" t="s">
        <v>593</v>
      </c>
      <c r="J524" s="496">
        <f t="shared" si="16"/>
        <v>1076.48</v>
      </c>
    </row>
    <row r="525" spans="1:10" ht="20.25" customHeight="1">
      <c r="A525" s="471">
        <v>5111</v>
      </c>
      <c r="B525" s="472" t="s">
        <v>445</v>
      </c>
      <c r="C525" s="473">
        <v>1433</v>
      </c>
      <c r="D525" s="471" t="s">
        <v>591</v>
      </c>
      <c r="E525" s="474">
        <v>41263</v>
      </c>
      <c r="F525" s="475" t="s">
        <v>446</v>
      </c>
      <c r="G525" s="476">
        <v>51</v>
      </c>
      <c r="H525" s="475" t="s">
        <v>592</v>
      </c>
      <c r="I525" s="478" t="s">
        <v>593</v>
      </c>
      <c r="J525" s="496">
        <f t="shared" si="16"/>
        <v>1076.48</v>
      </c>
    </row>
    <row r="526" spans="1:10" ht="20.25" customHeight="1">
      <c r="A526" s="471">
        <v>5111</v>
      </c>
      <c r="B526" s="472" t="s">
        <v>445</v>
      </c>
      <c r="C526" s="473">
        <v>1434</v>
      </c>
      <c r="D526" s="471" t="s">
        <v>591</v>
      </c>
      <c r="E526" s="474">
        <v>41263</v>
      </c>
      <c r="F526" s="475" t="s">
        <v>446</v>
      </c>
      <c r="G526" s="476">
        <v>51</v>
      </c>
      <c r="H526" s="475" t="s">
        <v>592</v>
      </c>
      <c r="I526" s="478" t="s">
        <v>593</v>
      </c>
      <c r="J526" s="496">
        <f t="shared" si="16"/>
        <v>1076.48</v>
      </c>
    </row>
    <row r="527" spans="1:10" ht="20.25" customHeight="1">
      <c r="A527" s="471">
        <v>5111</v>
      </c>
      <c r="B527" s="472" t="s">
        <v>445</v>
      </c>
      <c r="C527" s="473">
        <v>1435</v>
      </c>
      <c r="D527" s="471" t="s">
        <v>591</v>
      </c>
      <c r="E527" s="474">
        <v>41263</v>
      </c>
      <c r="F527" s="475" t="s">
        <v>446</v>
      </c>
      <c r="G527" s="476">
        <v>51</v>
      </c>
      <c r="H527" s="475" t="s">
        <v>592</v>
      </c>
      <c r="I527" s="478" t="s">
        <v>593</v>
      </c>
      <c r="J527" s="496">
        <f t="shared" si="16"/>
        <v>1076.48</v>
      </c>
    </row>
    <row r="528" spans="1:10" ht="20.25" customHeight="1">
      <c r="A528" s="471">
        <v>5111</v>
      </c>
      <c r="B528" s="472" t="s">
        <v>445</v>
      </c>
      <c r="C528" s="473">
        <v>1436</v>
      </c>
      <c r="D528" s="471" t="s">
        <v>591</v>
      </c>
      <c r="E528" s="474">
        <v>41263</v>
      </c>
      <c r="F528" s="475" t="s">
        <v>446</v>
      </c>
      <c r="G528" s="476">
        <v>51</v>
      </c>
      <c r="H528" s="475" t="s">
        <v>592</v>
      </c>
      <c r="I528" s="478" t="s">
        <v>593</v>
      </c>
      <c r="J528" s="496">
        <f t="shared" si="16"/>
        <v>1076.48</v>
      </c>
    </row>
    <row r="529" spans="1:10" ht="20.25" customHeight="1">
      <c r="A529" s="471">
        <v>5111</v>
      </c>
      <c r="B529" s="472" t="s">
        <v>445</v>
      </c>
      <c r="C529" s="473">
        <v>1437</v>
      </c>
      <c r="D529" s="471" t="s">
        <v>591</v>
      </c>
      <c r="E529" s="474">
        <v>41263</v>
      </c>
      <c r="F529" s="475" t="s">
        <v>446</v>
      </c>
      <c r="G529" s="476">
        <v>51</v>
      </c>
      <c r="H529" s="475" t="s">
        <v>592</v>
      </c>
      <c r="I529" s="478" t="s">
        <v>593</v>
      </c>
      <c r="J529" s="496">
        <f t="shared" si="16"/>
        <v>1076.48</v>
      </c>
    </row>
    <row r="530" spans="1:10" ht="20.25" customHeight="1">
      <c r="A530" s="471">
        <v>5111</v>
      </c>
      <c r="B530" s="472" t="s">
        <v>445</v>
      </c>
      <c r="C530" s="473">
        <v>1438</v>
      </c>
      <c r="D530" s="471" t="s">
        <v>591</v>
      </c>
      <c r="E530" s="474">
        <v>41263</v>
      </c>
      <c r="F530" s="475" t="s">
        <v>446</v>
      </c>
      <c r="G530" s="476">
        <v>51</v>
      </c>
      <c r="H530" s="475" t="s">
        <v>592</v>
      </c>
      <c r="I530" s="478" t="s">
        <v>593</v>
      </c>
      <c r="J530" s="496">
        <f t="shared" si="16"/>
        <v>1076.48</v>
      </c>
    </row>
    <row r="531" spans="1:10" ht="20.25" customHeight="1">
      <c r="A531" s="471">
        <v>5111</v>
      </c>
      <c r="B531" s="472" t="s">
        <v>445</v>
      </c>
      <c r="C531" s="473">
        <v>1439</v>
      </c>
      <c r="D531" s="471" t="s">
        <v>591</v>
      </c>
      <c r="E531" s="474">
        <v>41263</v>
      </c>
      <c r="F531" s="475" t="s">
        <v>446</v>
      </c>
      <c r="G531" s="476">
        <v>51</v>
      </c>
      <c r="H531" s="475" t="s">
        <v>592</v>
      </c>
      <c r="I531" s="478" t="s">
        <v>593</v>
      </c>
      <c r="J531" s="496">
        <f t="shared" si="16"/>
        <v>1076.48</v>
      </c>
    </row>
    <row r="532" spans="1:10" ht="20.25" customHeight="1">
      <c r="A532" s="471">
        <v>5111</v>
      </c>
      <c r="B532" s="472" t="s">
        <v>445</v>
      </c>
      <c r="C532" s="473">
        <v>1440</v>
      </c>
      <c r="D532" s="471" t="s">
        <v>591</v>
      </c>
      <c r="E532" s="474">
        <v>41263</v>
      </c>
      <c r="F532" s="475" t="s">
        <v>446</v>
      </c>
      <c r="G532" s="476">
        <v>51</v>
      </c>
      <c r="H532" s="475" t="s">
        <v>592</v>
      </c>
      <c r="I532" s="478" t="s">
        <v>593</v>
      </c>
      <c r="J532" s="496">
        <f t="shared" si="16"/>
        <v>1076.48</v>
      </c>
    </row>
    <row r="533" spans="1:10" ht="20.25" customHeight="1">
      <c r="A533" s="471">
        <v>5111</v>
      </c>
      <c r="B533" s="472" t="s">
        <v>445</v>
      </c>
      <c r="C533" s="473">
        <v>1441</v>
      </c>
      <c r="D533" s="471" t="s">
        <v>591</v>
      </c>
      <c r="E533" s="474">
        <v>41263</v>
      </c>
      <c r="F533" s="475" t="s">
        <v>446</v>
      </c>
      <c r="G533" s="476">
        <v>51</v>
      </c>
      <c r="H533" s="475" t="s">
        <v>592</v>
      </c>
      <c r="I533" s="478" t="s">
        <v>593</v>
      </c>
      <c r="J533" s="496">
        <f t="shared" si="16"/>
        <v>1076.48</v>
      </c>
    </row>
    <row r="534" spans="1:10" ht="20.25" customHeight="1">
      <c r="A534" s="471">
        <v>5111</v>
      </c>
      <c r="B534" s="472" t="s">
        <v>445</v>
      </c>
      <c r="C534" s="473">
        <v>1442</v>
      </c>
      <c r="D534" s="471" t="s">
        <v>591</v>
      </c>
      <c r="E534" s="474">
        <v>41263</v>
      </c>
      <c r="F534" s="475" t="s">
        <v>446</v>
      </c>
      <c r="G534" s="476">
        <v>51</v>
      </c>
      <c r="H534" s="475" t="s">
        <v>592</v>
      </c>
      <c r="I534" s="478" t="s">
        <v>593</v>
      </c>
      <c r="J534" s="496">
        <f t="shared" si="16"/>
        <v>1076.48</v>
      </c>
    </row>
    <row r="535" spans="1:10" ht="20.25" customHeight="1">
      <c r="A535" s="471">
        <v>5111</v>
      </c>
      <c r="B535" s="472" t="s">
        <v>445</v>
      </c>
      <c r="C535" s="473">
        <v>1443</v>
      </c>
      <c r="D535" s="471" t="s">
        <v>591</v>
      </c>
      <c r="E535" s="474">
        <v>41263</v>
      </c>
      <c r="F535" s="475" t="s">
        <v>446</v>
      </c>
      <c r="G535" s="476">
        <v>51</v>
      </c>
      <c r="H535" s="475" t="s">
        <v>592</v>
      </c>
      <c r="I535" s="478" t="s">
        <v>593</v>
      </c>
      <c r="J535" s="496">
        <f t="shared" si="16"/>
        <v>1076.48</v>
      </c>
    </row>
    <row r="536" spans="1:10" ht="20.25" customHeight="1">
      <c r="A536" s="471">
        <v>5111</v>
      </c>
      <c r="B536" s="472" t="s">
        <v>445</v>
      </c>
      <c r="C536" s="473">
        <v>1444</v>
      </c>
      <c r="D536" s="471" t="s">
        <v>591</v>
      </c>
      <c r="E536" s="474">
        <v>41263</v>
      </c>
      <c r="F536" s="475" t="s">
        <v>446</v>
      </c>
      <c r="G536" s="476">
        <v>51</v>
      </c>
      <c r="H536" s="475" t="s">
        <v>592</v>
      </c>
      <c r="I536" s="478" t="s">
        <v>593</v>
      </c>
      <c r="J536" s="496">
        <f t="shared" si="16"/>
        <v>1076.48</v>
      </c>
    </row>
    <row r="537" spans="1:10" ht="20.25" customHeight="1">
      <c r="A537" s="471">
        <v>5111</v>
      </c>
      <c r="B537" s="472" t="s">
        <v>445</v>
      </c>
      <c r="C537" s="473">
        <v>1445</v>
      </c>
      <c r="D537" s="471" t="s">
        <v>591</v>
      </c>
      <c r="E537" s="474">
        <v>41263</v>
      </c>
      <c r="F537" s="475" t="s">
        <v>446</v>
      </c>
      <c r="G537" s="476">
        <v>51</v>
      </c>
      <c r="H537" s="475" t="s">
        <v>592</v>
      </c>
      <c r="I537" s="478" t="s">
        <v>593</v>
      </c>
      <c r="J537" s="496">
        <f t="shared" si="16"/>
        <v>1076.48</v>
      </c>
    </row>
    <row r="538" spans="1:10" ht="20.25" customHeight="1">
      <c r="A538" s="471">
        <v>5111</v>
      </c>
      <c r="B538" s="472" t="s">
        <v>445</v>
      </c>
      <c r="C538" s="473">
        <v>1446</v>
      </c>
      <c r="D538" s="471" t="s">
        <v>591</v>
      </c>
      <c r="E538" s="474">
        <v>41263</v>
      </c>
      <c r="F538" s="475" t="s">
        <v>446</v>
      </c>
      <c r="G538" s="476">
        <v>51</v>
      </c>
      <c r="H538" s="475" t="s">
        <v>592</v>
      </c>
      <c r="I538" s="478" t="s">
        <v>593</v>
      </c>
      <c r="J538" s="496">
        <f t="shared" si="16"/>
        <v>1076.48</v>
      </c>
    </row>
    <row r="539" spans="1:10" ht="20.25" customHeight="1">
      <c r="A539" s="471">
        <v>5111</v>
      </c>
      <c r="B539" s="472" t="s">
        <v>445</v>
      </c>
      <c r="C539" s="473">
        <v>1447</v>
      </c>
      <c r="D539" s="471" t="s">
        <v>591</v>
      </c>
      <c r="E539" s="474">
        <v>41263</v>
      </c>
      <c r="F539" s="475" t="s">
        <v>446</v>
      </c>
      <c r="G539" s="476">
        <v>51</v>
      </c>
      <c r="H539" s="475" t="s">
        <v>592</v>
      </c>
      <c r="I539" s="478" t="s">
        <v>593</v>
      </c>
      <c r="J539" s="496">
        <f t="shared" si="16"/>
        <v>1076.48</v>
      </c>
    </row>
    <row r="540" spans="1:10" ht="20.25" customHeight="1">
      <c r="A540" s="471">
        <v>5111</v>
      </c>
      <c r="B540" s="472" t="s">
        <v>445</v>
      </c>
      <c r="C540" s="473">
        <v>1448</v>
      </c>
      <c r="D540" s="471" t="s">
        <v>591</v>
      </c>
      <c r="E540" s="474">
        <v>41263</v>
      </c>
      <c r="F540" s="475" t="s">
        <v>446</v>
      </c>
      <c r="G540" s="476">
        <v>51</v>
      </c>
      <c r="H540" s="475" t="s">
        <v>592</v>
      </c>
      <c r="I540" s="478" t="s">
        <v>593</v>
      </c>
      <c r="J540" s="496">
        <f t="shared" si="16"/>
        <v>1076.48</v>
      </c>
    </row>
    <row r="541" spans="1:10" ht="20.25" customHeight="1">
      <c r="A541" s="471">
        <v>5111</v>
      </c>
      <c r="B541" s="472" t="s">
        <v>445</v>
      </c>
      <c r="C541" s="473">
        <v>1449</v>
      </c>
      <c r="D541" s="471" t="s">
        <v>591</v>
      </c>
      <c r="E541" s="474">
        <v>41263</v>
      </c>
      <c r="F541" s="475" t="s">
        <v>446</v>
      </c>
      <c r="G541" s="476">
        <v>51</v>
      </c>
      <c r="H541" s="475" t="s">
        <v>592</v>
      </c>
      <c r="I541" s="478" t="s">
        <v>593</v>
      </c>
      <c r="J541" s="496">
        <f t="shared" si="16"/>
        <v>1076.48</v>
      </c>
    </row>
    <row r="542" spans="1:10" ht="20.25" customHeight="1">
      <c r="A542" s="471">
        <v>5111</v>
      </c>
      <c r="B542" s="472" t="s">
        <v>445</v>
      </c>
      <c r="C542" s="473">
        <v>1450</v>
      </c>
      <c r="D542" s="471" t="s">
        <v>591</v>
      </c>
      <c r="E542" s="474">
        <v>41263</v>
      </c>
      <c r="F542" s="475" t="s">
        <v>446</v>
      </c>
      <c r="G542" s="476">
        <v>51</v>
      </c>
      <c r="H542" s="475" t="s">
        <v>592</v>
      </c>
      <c r="I542" s="478" t="s">
        <v>593</v>
      </c>
      <c r="J542" s="496">
        <f t="shared" si="16"/>
        <v>1076.48</v>
      </c>
    </row>
    <row r="543" spans="1:10" ht="20.25" customHeight="1">
      <c r="A543" s="471">
        <v>5111</v>
      </c>
      <c r="B543" s="472" t="s">
        <v>445</v>
      </c>
      <c r="C543" s="473">
        <v>1451</v>
      </c>
      <c r="D543" s="471" t="s">
        <v>591</v>
      </c>
      <c r="E543" s="474">
        <v>41263</v>
      </c>
      <c r="F543" s="475" t="s">
        <v>446</v>
      </c>
      <c r="G543" s="476">
        <v>51</v>
      </c>
      <c r="H543" s="475" t="s">
        <v>592</v>
      </c>
      <c r="I543" s="478" t="s">
        <v>593</v>
      </c>
      <c r="J543" s="496">
        <f t="shared" si="16"/>
        <v>1076.48</v>
      </c>
    </row>
    <row r="544" spans="1:10" ht="20.25" customHeight="1">
      <c r="A544" s="471">
        <v>5111</v>
      </c>
      <c r="B544" s="472" t="s">
        <v>445</v>
      </c>
      <c r="C544" s="473">
        <v>1452</v>
      </c>
      <c r="D544" s="471" t="s">
        <v>591</v>
      </c>
      <c r="E544" s="474">
        <v>41263</v>
      </c>
      <c r="F544" s="475" t="s">
        <v>446</v>
      </c>
      <c r="G544" s="476">
        <v>51</v>
      </c>
      <c r="H544" s="475" t="s">
        <v>592</v>
      </c>
      <c r="I544" s="478" t="s">
        <v>593</v>
      </c>
      <c r="J544" s="496">
        <f t="shared" si="16"/>
        <v>1076.48</v>
      </c>
    </row>
    <row r="545" spans="1:10" ht="20.25" customHeight="1">
      <c r="A545" s="471">
        <v>5111</v>
      </c>
      <c r="B545" s="477" t="s">
        <v>445</v>
      </c>
      <c r="C545" s="473">
        <v>1453</v>
      </c>
      <c r="D545" s="478">
        <v>214</v>
      </c>
      <c r="E545" s="475">
        <v>41271</v>
      </c>
      <c r="F545" s="475" t="s">
        <v>468</v>
      </c>
      <c r="G545" s="476">
        <v>103</v>
      </c>
      <c r="H545" s="475" t="s">
        <v>594</v>
      </c>
      <c r="I545" s="478" t="s">
        <v>595</v>
      </c>
      <c r="J545" s="502">
        <f t="shared" ref="J545:J550" si="17">1890*1.16</f>
        <v>2192.3999999999996</v>
      </c>
    </row>
    <row r="546" spans="1:10" ht="20.25" customHeight="1">
      <c r="A546" s="471">
        <v>5111</v>
      </c>
      <c r="B546" s="477" t="s">
        <v>445</v>
      </c>
      <c r="C546" s="473">
        <v>1454</v>
      </c>
      <c r="D546" s="478">
        <v>214</v>
      </c>
      <c r="E546" s="475">
        <v>41271</v>
      </c>
      <c r="F546" s="475" t="s">
        <v>468</v>
      </c>
      <c r="G546" s="476">
        <v>103</v>
      </c>
      <c r="H546" s="475" t="s">
        <v>594</v>
      </c>
      <c r="I546" s="478" t="s">
        <v>595</v>
      </c>
      <c r="J546" s="502">
        <f t="shared" si="17"/>
        <v>2192.3999999999996</v>
      </c>
    </row>
    <row r="547" spans="1:10" ht="20.25" customHeight="1">
      <c r="A547" s="471">
        <v>5111</v>
      </c>
      <c r="B547" s="477" t="s">
        <v>445</v>
      </c>
      <c r="C547" s="473">
        <v>1455</v>
      </c>
      <c r="D547" s="478">
        <v>214</v>
      </c>
      <c r="E547" s="475">
        <v>41271</v>
      </c>
      <c r="F547" s="475" t="s">
        <v>468</v>
      </c>
      <c r="G547" s="476">
        <v>103</v>
      </c>
      <c r="H547" s="475" t="s">
        <v>594</v>
      </c>
      <c r="I547" s="478" t="s">
        <v>595</v>
      </c>
      <c r="J547" s="502">
        <f t="shared" si="17"/>
        <v>2192.3999999999996</v>
      </c>
    </row>
    <row r="548" spans="1:10" ht="20.25" customHeight="1">
      <c r="A548" s="471">
        <v>5111</v>
      </c>
      <c r="B548" s="477" t="s">
        <v>445</v>
      </c>
      <c r="C548" s="473">
        <v>1456</v>
      </c>
      <c r="D548" s="478">
        <v>214</v>
      </c>
      <c r="E548" s="475">
        <v>41271</v>
      </c>
      <c r="F548" s="475" t="s">
        <v>468</v>
      </c>
      <c r="G548" s="476">
        <v>103</v>
      </c>
      <c r="H548" s="475" t="s">
        <v>594</v>
      </c>
      <c r="I548" s="478" t="s">
        <v>595</v>
      </c>
      <c r="J548" s="502">
        <f t="shared" si="17"/>
        <v>2192.3999999999996</v>
      </c>
    </row>
    <row r="549" spans="1:10" ht="20.25" customHeight="1">
      <c r="A549" s="471">
        <v>5111</v>
      </c>
      <c r="B549" s="477" t="s">
        <v>445</v>
      </c>
      <c r="C549" s="473">
        <v>1457</v>
      </c>
      <c r="D549" s="478">
        <v>214</v>
      </c>
      <c r="E549" s="475">
        <v>41271</v>
      </c>
      <c r="F549" s="475" t="s">
        <v>468</v>
      </c>
      <c r="G549" s="476">
        <v>103</v>
      </c>
      <c r="H549" s="475" t="s">
        <v>594</v>
      </c>
      <c r="I549" s="478" t="s">
        <v>595</v>
      </c>
      <c r="J549" s="502">
        <f t="shared" si="17"/>
        <v>2192.3999999999996</v>
      </c>
    </row>
    <row r="550" spans="1:10" ht="20.25" customHeight="1">
      <c r="A550" s="471">
        <v>5111</v>
      </c>
      <c r="B550" s="477" t="s">
        <v>445</v>
      </c>
      <c r="C550" s="473">
        <v>1458</v>
      </c>
      <c r="D550" s="478">
        <v>214</v>
      </c>
      <c r="E550" s="475">
        <v>41271</v>
      </c>
      <c r="F550" s="475" t="s">
        <v>468</v>
      </c>
      <c r="G550" s="476">
        <v>103</v>
      </c>
      <c r="H550" s="475" t="s">
        <v>594</v>
      </c>
      <c r="I550" s="478" t="s">
        <v>595</v>
      </c>
      <c r="J550" s="502">
        <f t="shared" si="17"/>
        <v>2192.3999999999996</v>
      </c>
    </row>
    <row r="551" spans="1:10" ht="20.25" customHeight="1">
      <c r="A551" s="471">
        <v>5151</v>
      </c>
      <c r="B551" s="472" t="s">
        <v>445</v>
      </c>
      <c r="C551" s="473">
        <v>1</v>
      </c>
      <c r="D551" s="471">
        <v>127005042388</v>
      </c>
      <c r="E551" s="474">
        <v>38581</v>
      </c>
      <c r="F551" s="475" t="s">
        <v>468</v>
      </c>
      <c r="G551" s="476">
        <v>53</v>
      </c>
      <c r="H551" s="475" t="s">
        <v>596</v>
      </c>
      <c r="I551" s="478" t="s">
        <v>597</v>
      </c>
      <c r="J551" s="496">
        <v>4698</v>
      </c>
    </row>
    <row r="552" spans="1:10" ht="20.25" customHeight="1">
      <c r="A552" s="471">
        <v>5151</v>
      </c>
      <c r="B552" s="472" t="s">
        <v>445</v>
      </c>
      <c r="C552" s="473">
        <v>2</v>
      </c>
      <c r="D552" s="471" t="s">
        <v>598</v>
      </c>
      <c r="E552" s="474">
        <v>38726</v>
      </c>
      <c r="F552" s="475" t="s">
        <v>468</v>
      </c>
      <c r="G552" s="476">
        <v>54</v>
      </c>
      <c r="H552" s="475" t="s">
        <v>599</v>
      </c>
      <c r="I552" s="478" t="s">
        <v>600</v>
      </c>
      <c r="J552" s="496">
        <v>23793.5</v>
      </c>
    </row>
    <row r="553" spans="1:10" ht="20.25" customHeight="1">
      <c r="A553" s="471">
        <v>5151</v>
      </c>
      <c r="B553" s="477" t="s">
        <v>445</v>
      </c>
      <c r="C553" s="480">
        <v>3</v>
      </c>
      <c r="D553" s="478">
        <v>26867</v>
      </c>
      <c r="E553" s="475">
        <v>38860</v>
      </c>
      <c r="F553" s="475" t="s">
        <v>468</v>
      </c>
      <c r="G553" s="476">
        <v>55</v>
      </c>
      <c r="H553" s="475" t="s">
        <v>601</v>
      </c>
      <c r="I553" s="478" t="s">
        <v>602</v>
      </c>
      <c r="J553" s="502">
        <f>14890*1.15</f>
        <v>17123.5</v>
      </c>
    </row>
    <row r="554" spans="1:10" ht="20.25" customHeight="1">
      <c r="A554" s="471">
        <v>5151</v>
      </c>
      <c r="B554" s="477" t="s">
        <v>445</v>
      </c>
      <c r="C554" s="473">
        <v>4</v>
      </c>
      <c r="D554" s="478">
        <v>26867</v>
      </c>
      <c r="E554" s="475">
        <v>38860</v>
      </c>
      <c r="F554" s="475" t="s">
        <v>468</v>
      </c>
      <c r="G554" s="476">
        <v>56</v>
      </c>
      <c r="H554" s="475" t="s">
        <v>603</v>
      </c>
      <c r="I554" s="478" t="s">
        <v>604</v>
      </c>
      <c r="J554" s="502">
        <f>14890*1.15</f>
        <v>17123.5</v>
      </c>
    </row>
    <row r="555" spans="1:10" ht="20.25" customHeight="1">
      <c r="A555" s="471">
        <v>5151</v>
      </c>
      <c r="B555" s="477" t="s">
        <v>445</v>
      </c>
      <c r="C555" s="473">
        <v>5</v>
      </c>
      <c r="D555" s="478">
        <v>26867</v>
      </c>
      <c r="E555" s="475">
        <v>38860</v>
      </c>
      <c r="F555" s="475" t="s">
        <v>468</v>
      </c>
      <c r="G555" s="476">
        <v>57</v>
      </c>
      <c r="H555" s="475" t="s">
        <v>605</v>
      </c>
      <c r="I555" s="478" t="s">
        <v>606</v>
      </c>
      <c r="J555" s="502">
        <f>14890*1.15</f>
        <v>17123.5</v>
      </c>
    </row>
    <row r="556" spans="1:10" ht="20.25" customHeight="1">
      <c r="A556" s="471">
        <v>5151</v>
      </c>
      <c r="B556" s="477" t="s">
        <v>445</v>
      </c>
      <c r="C556" s="480">
        <v>6</v>
      </c>
      <c r="D556" s="478">
        <v>26867</v>
      </c>
      <c r="E556" s="475">
        <v>38860</v>
      </c>
      <c r="F556" s="475" t="s">
        <v>468</v>
      </c>
      <c r="G556" s="476">
        <v>58</v>
      </c>
      <c r="H556" s="475" t="s">
        <v>607</v>
      </c>
      <c r="I556" s="478" t="s">
        <v>608</v>
      </c>
      <c r="J556" s="502">
        <f>14890*1.15</f>
        <v>17123.5</v>
      </c>
    </row>
    <row r="557" spans="1:10" ht="20.25" customHeight="1">
      <c r="A557" s="471">
        <v>5151</v>
      </c>
      <c r="B557" s="472" t="s">
        <v>445</v>
      </c>
      <c r="C557" s="473">
        <v>97</v>
      </c>
      <c r="D557" s="471">
        <v>28142</v>
      </c>
      <c r="E557" s="474">
        <v>39070</v>
      </c>
      <c r="F557" s="475" t="s">
        <v>468</v>
      </c>
      <c r="G557" s="476">
        <v>59</v>
      </c>
      <c r="H557" s="475" t="s">
        <v>609</v>
      </c>
      <c r="I557" s="478" t="s">
        <v>610</v>
      </c>
      <c r="J557" s="496">
        <v>5750</v>
      </c>
    </row>
    <row r="558" spans="1:10" ht="20.25" customHeight="1">
      <c r="A558" s="471">
        <v>5151</v>
      </c>
      <c r="B558" s="472" t="s">
        <v>445</v>
      </c>
      <c r="C558" s="473">
        <v>98</v>
      </c>
      <c r="D558" s="471">
        <v>6627</v>
      </c>
      <c r="E558" s="474">
        <v>39402</v>
      </c>
      <c r="F558" s="475" t="s">
        <v>468</v>
      </c>
      <c r="G558" s="476">
        <v>60</v>
      </c>
      <c r="H558" s="475" t="s">
        <v>611</v>
      </c>
      <c r="I558" s="478" t="s">
        <v>612</v>
      </c>
      <c r="J558" s="496">
        <f>2350*1.15</f>
        <v>2702.5</v>
      </c>
    </row>
    <row r="559" spans="1:10" ht="20.25" customHeight="1">
      <c r="A559" s="471">
        <v>5151</v>
      </c>
      <c r="B559" s="477" t="s">
        <v>445</v>
      </c>
      <c r="C559" s="480">
        <v>99</v>
      </c>
      <c r="D559" s="478">
        <v>1066</v>
      </c>
      <c r="E559" s="477">
        <v>39973</v>
      </c>
      <c r="F559" s="477" t="s">
        <v>468</v>
      </c>
      <c r="G559" s="479">
        <v>61</v>
      </c>
      <c r="H559" s="477" t="s">
        <v>613</v>
      </c>
      <c r="I559" s="498" t="s">
        <v>614</v>
      </c>
      <c r="J559" s="501">
        <f t="shared" ref="J559:J570" si="18">486036/12</f>
        <v>40503</v>
      </c>
    </row>
    <row r="560" spans="1:10" ht="20.25" customHeight="1">
      <c r="A560" s="471">
        <v>5151</v>
      </c>
      <c r="B560" s="477" t="s">
        <v>445</v>
      </c>
      <c r="C560" s="473">
        <v>100</v>
      </c>
      <c r="D560" s="478">
        <v>1066</v>
      </c>
      <c r="E560" s="477">
        <v>39973</v>
      </c>
      <c r="F560" s="477" t="s">
        <v>468</v>
      </c>
      <c r="G560" s="479">
        <v>61</v>
      </c>
      <c r="H560" s="477" t="s">
        <v>613</v>
      </c>
      <c r="I560" s="498" t="s">
        <v>615</v>
      </c>
      <c r="J560" s="501">
        <f t="shared" si="18"/>
        <v>40503</v>
      </c>
    </row>
    <row r="561" spans="1:10" ht="20.25" customHeight="1">
      <c r="A561" s="471">
        <v>5151</v>
      </c>
      <c r="B561" s="477" t="s">
        <v>445</v>
      </c>
      <c r="C561" s="473">
        <v>101</v>
      </c>
      <c r="D561" s="478">
        <v>1066</v>
      </c>
      <c r="E561" s="477">
        <v>39973</v>
      </c>
      <c r="F561" s="477" t="s">
        <v>468</v>
      </c>
      <c r="G561" s="479">
        <v>61</v>
      </c>
      <c r="H561" s="477" t="s">
        <v>613</v>
      </c>
      <c r="I561" s="498" t="s">
        <v>616</v>
      </c>
      <c r="J561" s="501">
        <f t="shared" si="18"/>
        <v>40503</v>
      </c>
    </row>
    <row r="562" spans="1:10" ht="20.25" customHeight="1">
      <c r="A562" s="471">
        <v>5151</v>
      </c>
      <c r="B562" s="477" t="s">
        <v>445</v>
      </c>
      <c r="C562" s="480">
        <v>102</v>
      </c>
      <c r="D562" s="478">
        <v>1066</v>
      </c>
      <c r="E562" s="477">
        <v>39973</v>
      </c>
      <c r="F562" s="477" t="s">
        <v>468</v>
      </c>
      <c r="G562" s="479">
        <v>61</v>
      </c>
      <c r="H562" s="477" t="s">
        <v>613</v>
      </c>
      <c r="I562" s="498" t="s">
        <v>617</v>
      </c>
      <c r="J562" s="501">
        <f t="shared" si="18"/>
        <v>40503</v>
      </c>
    </row>
    <row r="563" spans="1:10" ht="20.25" customHeight="1">
      <c r="A563" s="471">
        <v>5151</v>
      </c>
      <c r="B563" s="477" t="s">
        <v>445</v>
      </c>
      <c r="C563" s="473">
        <v>103</v>
      </c>
      <c r="D563" s="478">
        <v>1066</v>
      </c>
      <c r="E563" s="477">
        <v>39973</v>
      </c>
      <c r="F563" s="477" t="s">
        <v>468</v>
      </c>
      <c r="G563" s="479">
        <v>61</v>
      </c>
      <c r="H563" s="477" t="s">
        <v>613</v>
      </c>
      <c r="I563" s="498" t="s">
        <v>618</v>
      </c>
      <c r="J563" s="501">
        <f t="shared" si="18"/>
        <v>40503</v>
      </c>
    </row>
    <row r="564" spans="1:10" ht="20.25" customHeight="1">
      <c r="A564" s="471">
        <v>5151</v>
      </c>
      <c r="B564" s="477" t="s">
        <v>445</v>
      </c>
      <c r="C564" s="473">
        <v>104</v>
      </c>
      <c r="D564" s="478">
        <v>1066</v>
      </c>
      <c r="E564" s="477">
        <v>39973</v>
      </c>
      <c r="F564" s="477" t="s">
        <v>468</v>
      </c>
      <c r="G564" s="479">
        <v>61</v>
      </c>
      <c r="H564" s="477" t="s">
        <v>613</v>
      </c>
      <c r="I564" s="498" t="s">
        <v>619</v>
      </c>
      <c r="J564" s="501">
        <f t="shared" si="18"/>
        <v>40503</v>
      </c>
    </row>
    <row r="565" spans="1:10" ht="20.25" customHeight="1">
      <c r="A565" s="471">
        <v>5151</v>
      </c>
      <c r="B565" s="477" t="s">
        <v>445</v>
      </c>
      <c r="C565" s="480">
        <v>105</v>
      </c>
      <c r="D565" s="478">
        <v>1066</v>
      </c>
      <c r="E565" s="477">
        <v>39973</v>
      </c>
      <c r="F565" s="477" t="s">
        <v>468</v>
      </c>
      <c r="G565" s="479">
        <v>61</v>
      </c>
      <c r="H565" s="477" t="s">
        <v>613</v>
      </c>
      <c r="I565" s="498" t="s">
        <v>620</v>
      </c>
      <c r="J565" s="501">
        <f t="shared" si="18"/>
        <v>40503</v>
      </c>
    </row>
    <row r="566" spans="1:10" ht="20.25" customHeight="1">
      <c r="A566" s="471">
        <v>5151</v>
      </c>
      <c r="B566" s="477" t="s">
        <v>445</v>
      </c>
      <c r="C566" s="473">
        <v>106</v>
      </c>
      <c r="D566" s="478">
        <v>1066</v>
      </c>
      <c r="E566" s="477">
        <v>39973</v>
      </c>
      <c r="F566" s="477" t="s">
        <v>468</v>
      </c>
      <c r="G566" s="479">
        <v>61</v>
      </c>
      <c r="H566" s="477" t="s">
        <v>613</v>
      </c>
      <c r="I566" s="498" t="s">
        <v>621</v>
      </c>
      <c r="J566" s="501">
        <f t="shared" si="18"/>
        <v>40503</v>
      </c>
    </row>
    <row r="567" spans="1:10" ht="20.25" customHeight="1">
      <c r="A567" s="471">
        <v>5151</v>
      </c>
      <c r="B567" s="477" t="s">
        <v>445</v>
      </c>
      <c r="C567" s="473">
        <v>107</v>
      </c>
      <c r="D567" s="478">
        <v>1066</v>
      </c>
      <c r="E567" s="477">
        <v>39973</v>
      </c>
      <c r="F567" s="477" t="s">
        <v>468</v>
      </c>
      <c r="G567" s="479">
        <v>61</v>
      </c>
      <c r="H567" s="477" t="s">
        <v>613</v>
      </c>
      <c r="I567" s="498" t="s">
        <v>622</v>
      </c>
      <c r="J567" s="501">
        <f t="shared" si="18"/>
        <v>40503</v>
      </c>
    </row>
    <row r="568" spans="1:10" ht="20.25" customHeight="1">
      <c r="A568" s="471">
        <v>5151</v>
      </c>
      <c r="B568" s="477" t="s">
        <v>445</v>
      </c>
      <c r="C568" s="480">
        <v>108</v>
      </c>
      <c r="D568" s="478">
        <v>1066</v>
      </c>
      <c r="E568" s="477">
        <v>39973</v>
      </c>
      <c r="F568" s="477" t="s">
        <v>468</v>
      </c>
      <c r="G568" s="479">
        <v>61</v>
      </c>
      <c r="H568" s="477" t="s">
        <v>613</v>
      </c>
      <c r="I568" s="498" t="s">
        <v>623</v>
      </c>
      <c r="J568" s="501">
        <f t="shared" si="18"/>
        <v>40503</v>
      </c>
    </row>
    <row r="569" spans="1:10" ht="20.25" customHeight="1">
      <c r="A569" s="471">
        <v>5151</v>
      </c>
      <c r="B569" s="477" t="s">
        <v>445</v>
      </c>
      <c r="C569" s="473">
        <v>109</v>
      </c>
      <c r="D569" s="478">
        <v>1066</v>
      </c>
      <c r="E569" s="477">
        <v>39973</v>
      </c>
      <c r="F569" s="477" t="s">
        <v>468</v>
      </c>
      <c r="G569" s="479">
        <v>61</v>
      </c>
      <c r="H569" s="477" t="s">
        <v>613</v>
      </c>
      <c r="I569" s="498" t="s">
        <v>624</v>
      </c>
      <c r="J569" s="501">
        <f t="shared" si="18"/>
        <v>40503</v>
      </c>
    </row>
    <row r="570" spans="1:10" ht="20.25" customHeight="1">
      <c r="A570" s="471">
        <v>5151</v>
      </c>
      <c r="B570" s="477" t="s">
        <v>445</v>
      </c>
      <c r="C570" s="473">
        <v>110</v>
      </c>
      <c r="D570" s="478">
        <v>1066</v>
      </c>
      <c r="E570" s="477">
        <v>39973</v>
      </c>
      <c r="F570" s="477" t="s">
        <v>468</v>
      </c>
      <c r="G570" s="479">
        <v>61</v>
      </c>
      <c r="H570" s="477" t="s">
        <v>613</v>
      </c>
      <c r="I570" s="498" t="s">
        <v>625</v>
      </c>
      <c r="J570" s="501">
        <f t="shared" si="18"/>
        <v>40503</v>
      </c>
    </row>
    <row r="571" spans="1:10" ht="20.25" customHeight="1">
      <c r="A571" s="471">
        <v>5151</v>
      </c>
      <c r="B571" s="472" t="s">
        <v>445</v>
      </c>
      <c r="C571" s="480">
        <v>111</v>
      </c>
      <c r="D571" s="471">
        <v>17476</v>
      </c>
      <c r="E571" s="472">
        <v>40028</v>
      </c>
      <c r="F571" s="477" t="s">
        <v>468</v>
      </c>
      <c r="G571" s="479">
        <v>62</v>
      </c>
      <c r="H571" s="477" t="s">
        <v>626</v>
      </c>
      <c r="I571" s="498" t="s">
        <v>627</v>
      </c>
      <c r="J571" s="499">
        <v>89541.7</v>
      </c>
    </row>
    <row r="572" spans="1:10" ht="20.25" customHeight="1">
      <c r="A572" s="471">
        <v>5151</v>
      </c>
      <c r="B572" s="477" t="s">
        <v>445</v>
      </c>
      <c r="C572" s="473">
        <v>112</v>
      </c>
      <c r="D572" s="478">
        <v>289</v>
      </c>
      <c r="E572" s="477">
        <v>40030</v>
      </c>
      <c r="F572" s="477" t="s">
        <v>468</v>
      </c>
      <c r="G572" s="479">
        <v>63</v>
      </c>
      <c r="H572" s="477" t="s">
        <v>628</v>
      </c>
      <c r="I572" s="498" t="s">
        <v>629</v>
      </c>
      <c r="J572" s="501">
        <v>8165</v>
      </c>
    </row>
    <row r="573" spans="1:10" ht="20.25" customHeight="1">
      <c r="A573" s="471">
        <v>5151</v>
      </c>
      <c r="B573" s="477" t="s">
        <v>445</v>
      </c>
      <c r="C573" s="473">
        <v>113</v>
      </c>
      <c r="D573" s="478">
        <v>289</v>
      </c>
      <c r="E573" s="477">
        <v>40030</v>
      </c>
      <c r="F573" s="477" t="s">
        <v>468</v>
      </c>
      <c r="G573" s="479">
        <v>63</v>
      </c>
      <c r="H573" s="477" t="s">
        <v>628</v>
      </c>
      <c r="I573" s="498" t="s">
        <v>629</v>
      </c>
      <c r="J573" s="501">
        <v>8165</v>
      </c>
    </row>
    <row r="574" spans="1:10" ht="20.25" customHeight="1">
      <c r="A574" s="471">
        <v>5151</v>
      </c>
      <c r="B574" s="477" t="s">
        <v>445</v>
      </c>
      <c r="C574" s="480">
        <v>114</v>
      </c>
      <c r="D574" s="478">
        <v>289</v>
      </c>
      <c r="E574" s="477">
        <v>40030</v>
      </c>
      <c r="F574" s="477" t="s">
        <v>468</v>
      </c>
      <c r="G574" s="479">
        <v>63</v>
      </c>
      <c r="H574" s="477" t="s">
        <v>628</v>
      </c>
      <c r="I574" s="498" t="s">
        <v>629</v>
      </c>
      <c r="J574" s="501">
        <v>8165</v>
      </c>
    </row>
    <row r="575" spans="1:10" ht="20.25" customHeight="1">
      <c r="A575" s="471">
        <v>5151</v>
      </c>
      <c r="B575" s="477" t="s">
        <v>445</v>
      </c>
      <c r="C575" s="473">
        <v>115</v>
      </c>
      <c r="D575" s="478">
        <v>289</v>
      </c>
      <c r="E575" s="477">
        <v>40030</v>
      </c>
      <c r="F575" s="477" t="s">
        <v>468</v>
      </c>
      <c r="G575" s="479">
        <v>63</v>
      </c>
      <c r="H575" s="477" t="s">
        <v>628</v>
      </c>
      <c r="I575" s="498" t="s">
        <v>629</v>
      </c>
      <c r="J575" s="501">
        <v>8165</v>
      </c>
    </row>
    <row r="576" spans="1:10" ht="20.25" customHeight="1">
      <c r="A576" s="471">
        <v>5151</v>
      </c>
      <c r="B576" s="477" t="s">
        <v>445</v>
      </c>
      <c r="C576" s="473">
        <v>116</v>
      </c>
      <c r="D576" s="478">
        <v>289</v>
      </c>
      <c r="E576" s="477">
        <v>40030</v>
      </c>
      <c r="F576" s="477" t="s">
        <v>468</v>
      </c>
      <c r="G576" s="479">
        <v>63</v>
      </c>
      <c r="H576" s="477" t="s">
        <v>628</v>
      </c>
      <c r="I576" s="498" t="s">
        <v>629</v>
      </c>
      <c r="J576" s="501">
        <v>8165</v>
      </c>
    </row>
    <row r="577" spans="1:10" ht="20.25" customHeight="1">
      <c r="A577" s="471">
        <v>5151</v>
      </c>
      <c r="B577" s="477" t="s">
        <v>445</v>
      </c>
      <c r="C577" s="480">
        <v>117</v>
      </c>
      <c r="D577" s="478">
        <v>289</v>
      </c>
      <c r="E577" s="477">
        <v>40030</v>
      </c>
      <c r="F577" s="477" t="s">
        <v>468</v>
      </c>
      <c r="G577" s="479">
        <v>63</v>
      </c>
      <c r="H577" s="477" t="s">
        <v>628</v>
      </c>
      <c r="I577" s="498" t="s">
        <v>629</v>
      </c>
      <c r="J577" s="501">
        <v>8165</v>
      </c>
    </row>
    <row r="578" spans="1:10" ht="20.25" customHeight="1">
      <c r="A578" s="471">
        <v>5151</v>
      </c>
      <c r="B578" s="477" t="s">
        <v>445</v>
      </c>
      <c r="C578" s="473">
        <v>118</v>
      </c>
      <c r="D578" s="478">
        <v>289</v>
      </c>
      <c r="E578" s="477">
        <v>40030</v>
      </c>
      <c r="F578" s="477" t="s">
        <v>468</v>
      </c>
      <c r="G578" s="479">
        <v>63</v>
      </c>
      <c r="H578" s="477" t="s">
        <v>628</v>
      </c>
      <c r="I578" s="498" t="s">
        <v>629</v>
      </c>
      <c r="J578" s="501">
        <v>8165</v>
      </c>
    </row>
    <row r="579" spans="1:10" ht="20.25" customHeight="1">
      <c r="A579" s="471">
        <v>5151</v>
      </c>
      <c r="B579" s="477" t="s">
        <v>445</v>
      </c>
      <c r="C579" s="473">
        <v>119</v>
      </c>
      <c r="D579" s="478">
        <v>289</v>
      </c>
      <c r="E579" s="477">
        <v>40030</v>
      </c>
      <c r="F579" s="477" t="s">
        <v>468</v>
      </c>
      <c r="G579" s="479">
        <v>63</v>
      </c>
      <c r="H579" s="477" t="s">
        <v>628</v>
      </c>
      <c r="I579" s="498" t="s">
        <v>629</v>
      </c>
      <c r="J579" s="501">
        <v>8165</v>
      </c>
    </row>
    <row r="580" spans="1:10" ht="20.25" customHeight="1">
      <c r="A580" s="471">
        <v>5151</v>
      </c>
      <c r="B580" s="477" t="s">
        <v>445</v>
      </c>
      <c r="C580" s="480">
        <v>120</v>
      </c>
      <c r="D580" s="478">
        <v>289</v>
      </c>
      <c r="E580" s="477">
        <v>40030</v>
      </c>
      <c r="F580" s="477" t="s">
        <v>468</v>
      </c>
      <c r="G580" s="479">
        <v>63</v>
      </c>
      <c r="H580" s="477" t="s">
        <v>628</v>
      </c>
      <c r="I580" s="498" t="s">
        <v>629</v>
      </c>
      <c r="J580" s="501">
        <v>8165</v>
      </c>
    </row>
    <row r="581" spans="1:10" ht="20.25" customHeight="1">
      <c r="A581" s="471">
        <v>5151</v>
      </c>
      <c r="B581" s="477" t="s">
        <v>445</v>
      </c>
      <c r="C581" s="473">
        <v>121</v>
      </c>
      <c r="D581" s="478">
        <v>289</v>
      </c>
      <c r="E581" s="477">
        <v>40030</v>
      </c>
      <c r="F581" s="477" t="s">
        <v>468</v>
      </c>
      <c r="G581" s="479">
        <v>63</v>
      </c>
      <c r="H581" s="477" t="s">
        <v>628</v>
      </c>
      <c r="I581" s="498" t="s">
        <v>629</v>
      </c>
      <c r="J581" s="501">
        <v>8165</v>
      </c>
    </row>
    <row r="582" spans="1:10" ht="20.25" customHeight="1">
      <c r="A582" s="471">
        <v>5151</v>
      </c>
      <c r="B582" s="477" t="s">
        <v>445</v>
      </c>
      <c r="C582" s="473">
        <v>122</v>
      </c>
      <c r="D582" s="478">
        <v>289</v>
      </c>
      <c r="E582" s="477">
        <v>40030</v>
      </c>
      <c r="F582" s="477" t="s">
        <v>468</v>
      </c>
      <c r="G582" s="479">
        <v>63</v>
      </c>
      <c r="H582" s="477" t="s">
        <v>628</v>
      </c>
      <c r="I582" s="498" t="s">
        <v>629</v>
      </c>
      <c r="J582" s="501">
        <v>8165</v>
      </c>
    </row>
    <row r="583" spans="1:10" ht="20.25" customHeight="1">
      <c r="A583" s="471">
        <v>5151</v>
      </c>
      <c r="B583" s="477" t="s">
        <v>445</v>
      </c>
      <c r="C583" s="480">
        <v>123</v>
      </c>
      <c r="D583" s="478">
        <v>289</v>
      </c>
      <c r="E583" s="477">
        <v>40030</v>
      </c>
      <c r="F583" s="477" t="s">
        <v>468</v>
      </c>
      <c r="G583" s="479">
        <v>63</v>
      </c>
      <c r="H583" s="477" t="s">
        <v>628</v>
      </c>
      <c r="I583" s="498" t="s">
        <v>629</v>
      </c>
      <c r="J583" s="501">
        <v>8165</v>
      </c>
    </row>
    <row r="584" spans="1:10" ht="20.25" customHeight="1">
      <c r="A584" s="471">
        <v>5151</v>
      </c>
      <c r="B584" s="477" t="s">
        <v>445</v>
      </c>
      <c r="C584" s="473">
        <v>124</v>
      </c>
      <c r="D584" s="478">
        <v>289</v>
      </c>
      <c r="E584" s="477">
        <v>40030</v>
      </c>
      <c r="F584" s="477" t="s">
        <v>468</v>
      </c>
      <c r="G584" s="479">
        <v>63</v>
      </c>
      <c r="H584" s="477" t="s">
        <v>628</v>
      </c>
      <c r="I584" s="498" t="s">
        <v>629</v>
      </c>
      <c r="J584" s="501">
        <v>8165</v>
      </c>
    </row>
    <row r="585" spans="1:10" ht="20.25" customHeight="1">
      <c r="A585" s="471">
        <v>5151</v>
      </c>
      <c r="B585" s="477" t="s">
        <v>445</v>
      </c>
      <c r="C585" s="473">
        <v>125</v>
      </c>
      <c r="D585" s="478">
        <v>289</v>
      </c>
      <c r="E585" s="477">
        <v>40030</v>
      </c>
      <c r="F585" s="477" t="s">
        <v>468</v>
      </c>
      <c r="G585" s="479">
        <v>63</v>
      </c>
      <c r="H585" s="477" t="s">
        <v>628</v>
      </c>
      <c r="I585" s="498" t="s">
        <v>630</v>
      </c>
      <c r="J585" s="501">
        <v>8165</v>
      </c>
    </row>
    <row r="586" spans="1:10" ht="20.25" customHeight="1">
      <c r="A586" s="471">
        <v>5151</v>
      </c>
      <c r="B586" s="477" t="s">
        <v>445</v>
      </c>
      <c r="C586" s="480">
        <v>126</v>
      </c>
      <c r="D586" s="478">
        <v>289</v>
      </c>
      <c r="E586" s="477">
        <v>40030</v>
      </c>
      <c r="F586" s="477" t="s">
        <v>468</v>
      </c>
      <c r="G586" s="479">
        <v>63</v>
      </c>
      <c r="H586" s="477" t="s">
        <v>628</v>
      </c>
      <c r="I586" s="498" t="s">
        <v>629</v>
      </c>
      <c r="J586" s="501">
        <v>8165</v>
      </c>
    </row>
    <row r="587" spans="1:10" ht="20.25" customHeight="1">
      <c r="A587" s="471">
        <v>5151</v>
      </c>
      <c r="B587" s="477" t="s">
        <v>445</v>
      </c>
      <c r="C587" s="473">
        <v>127</v>
      </c>
      <c r="D587" s="478">
        <v>289</v>
      </c>
      <c r="E587" s="477">
        <v>40030</v>
      </c>
      <c r="F587" s="477" t="s">
        <v>468</v>
      </c>
      <c r="G587" s="479">
        <v>63</v>
      </c>
      <c r="H587" s="477" t="s">
        <v>628</v>
      </c>
      <c r="I587" s="498" t="s">
        <v>629</v>
      </c>
      <c r="J587" s="501">
        <v>8165</v>
      </c>
    </row>
    <row r="588" spans="1:10" ht="20.25" customHeight="1">
      <c r="A588" s="471">
        <v>5151</v>
      </c>
      <c r="B588" s="477" t="s">
        <v>445</v>
      </c>
      <c r="C588" s="473">
        <v>128</v>
      </c>
      <c r="D588" s="478">
        <v>289</v>
      </c>
      <c r="E588" s="477">
        <v>40030</v>
      </c>
      <c r="F588" s="477" t="s">
        <v>468</v>
      </c>
      <c r="G588" s="479">
        <v>63</v>
      </c>
      <c r="H588" s="477" t="s">
        <v>628</v>
      </c>
      <c r="I588" s="498" t="s">
        <v>629</v>
      </c>
      <c r="J588" s="501">
        <v>8165</v>
      </c>
    </row>
    <row r="589" spans="1:10" ht="20.25" customHeight="1">
      <c r="A589" s="471">
        <v>5151</v>
      </c>
      <c r="B589" s="477" t="s">
        <v>445</v>
      </c>
      <c r="C589" s="480">
        <v>129</v>
      </c>
      <c r="D589" s="478">
        <v>289</v>
      </c>
      <c r="E589" s="477">
        <v>40030</v>
      </c>
      <c r="F589" s="477" t="s">
        <v>468</v>
      </c>
      <c r="G589" s="479">
        <v>63</v>
      </c>
      <c r="H589" s="477" t="s">
        <v>628</v>
      </c>
      <c r="I589" s="498" t="s">
        <v>629</v>
      </c>
      <c r="J589" s="501">
        <v>8165</v>
      </c>
    </row>
    <row r="590" spans="1:10" ht="20.25" customHeight="1">
      <c r="A590" s="471">
        <v>5151</v>
      </c>
      <c r="B590" s="477" t="s">
        <v>445</v>
      </c>
      <c r="C590" s="473">
        <v>130</v>
      </c>
      <c r="D590" s="478">
        <v>289</v>
      </c>
      <c r="E590" s="477">
        <v>40030</v>
      </c>
      <c r="F590" s="477" t="s">
        <v>468</v>
      </c>
      <c r="G590" s="479">
        <v>63</v>
      </c>
      <c r="H590" s="477" t="s">
        <v>628</v>
      </c>
      <c r="I590" s="498" t="s">
        <v>629</v>
      </c>
      <c r="J590" s="501">
        <v>8165</v>
      </c>
    </row>
    <row r="591" spans="1:10" ht="20.25" customHeight="1">
      <c r="A591" s="471">
        <v>5151</v>
      </c>
      <c r="B591" s="477" t="s">
        <v>445</v>
      </c>
      <c r="C591" s="473">
        <v>131</v>
      </c>
      <c r="D591" s="478">
        <v>289</v>
      </c>
      <c r="E591" s="477">
        <v>40030</v>
      </c>
      <c r="F591" s="477" t="s">
        <v>468</v>
      </c>
      <c r="G591" s="479">
        <v>63</v>
      </c>
      <c r="H591" s="477" t="s">
        <v>628</v>
      </c>
      <c r="I591" s="498" t="s">
        <v>629</v>
      </c>
      <c r="J591" s="501">
        <v>8165</v>
      </c>
    </row>
    <row r="592" spans="1:10" ht="20.25" customHeight="1">
      <c r="A592" s="471">
        <v>5151</v>
      </c>
      <c r="B592" s="477" t="s">
        <v>445</v>
      </c>
      <c r="C592" s="480">
        <v>132</v>
      </c>
      <c r="D592" s="478">
        <v>289</v>
      </c>
      <c r="E592" s="477">
        <v>40030</v>
      </c>
      <c r="F592" s="477" t="s">
        <v>468</v>
      </c>
      <c r="G592" s="479">
        <v>63</v>
      </c>
      <c r="H592" s="477" t="s">
        <v>628</v>
      </c>
      <c r="I592" s="498" t="s">
        <v>629</v>
      </c>
      <c r="J592" s="501">
        <v>8165</v>
      </c>
    </row>
    <row r="593" spans="1:10" ht="20.25" customHeight="1">
      <c r="A593" s="471">
        <v>5151</v>
      </c>
      <c r="B593" s="477" t="s">
        <v>445</v>
      </c>
      <c r="C593" s="473">
        <v>133</v>
      </c>
      <c r="D593" s="478">
        <v>289</v>
      </c>
      <c r="E593" s="477">
        <v>40030</v>
      </c>
      <c r="F593" s="477" t="s">
        <v>468</v>
      </c>
      <c r="G593" s="479">
        <v>63</v>
      </c>
      <c r="H593" s="477" t="s">
        <v>628</v>
      </c>
      <c r="I593" s="498" t="s">
        <v>629</v>
      </c>
      <c r="J593" s="501">
        <v>8165</v>
      </c>
    </row>
    <row r="594" spans="1:10" ht="20.25" customHeight="1">
      <c r="A594" s="471">
        <v>5151</v>
      </c>
      <c r="B594" s="477" t="s">
        <v>445</v>
      </c>
      <c r="C594" s="473">
        <v>134</v>
      </c>
      <c r="D594" s="478">
        <v>289</v>
      </c>
      <c r="E594" s="477">
        <v>40030</v>
      </c>
      <c r="F594" s="477" t="s">
        <v>468</v>
      </c>
      <c r="G594" s="479">
        <v>63</v>
      </c>
      <c r="H594" s="477" t="s">
        <v>628</v>
      </c>
      <c r="I594" s="498" t="s">
        <v>629</v>
      </c>
      <c r="J594" s="501">
        <v>8165</v>
      </c>
    </row>
    <row r="595" spans="1:10" ht="20.25" customHeight="1">
      <c r="A595" s="471">
        <v>5151</v>
      </c>
      <c r="B595" s="477" t="s">
        <v>445</v>
      </c>
      <c r="C595" s="480">
        <v>135</v>
      </c>
      <c r="D595" s="478">
        <v>289</v>
      </c>
      <c r="E595" s="477">
        <v>40030</v>
      </c>
      <c r="F595" s="477" t="s">
        <v>468</v>
      </c>
      <c r="G595" s="479">
        <v>63</v>
      </c>
      <c r="H595" s="477" t="s">
        <v>628</v>
      </c>
      <c r="I595" s="498" t="s">
        <v>629</v>
      </c>
      <c r="J595" s="501">
        <v>8165</v>
      </c>
    </row>
    <row r="596" spans="1:10" ht="20.25" customHeight="1">
      <c r="A596" s="471">
        <v>5151</v>
      </c>
      <c r="B596" s="477" t="s">
        <v>445</v>
      </c>
      <c r="C596" s="473">
        <v>136</v>
      </c>
      <c r="D596" s="478">
        <v>289</v>
      </c>
      <c r="E596" s="477">
        <v>40030</v>
      </c>
      <c r="F596" s="477" t="s">
        <v>468</v>
      </c>
      <c r="G596" s="479">
        <v>63</v>
      </c>
      <c r="H596" s="477" t="s">
        <v>628</v>
      </c>
      <c r="I596" s="498" t="s">
        <v>629</v>
      </c>
      <c r="J596" s="501">
        <v>8165</v>
      </c>
    </row>
    <row r="597" spans="1:10" ht="20.25" customHeight="1">
      <c r="A597" s="471">
        <v>5151</v>
      </c>
      <c r="B597" s="477" t="s">
        <v>445</v>
      </c>
      <c r="C597" s="473">
        <v>137</v>
      </c>
      <c r="D597" s="478">
        <v>289</v>
      </c>
      <c r="E597" s="477">
        <v>40030</v>
      </c>
      <c r="F597" s="477" t="s">
        <v>468</v>
      </c>
      <c r="G597" s="479">
        <v>63</v>
      </c>
      <c r="H597" s="477" t="s">
        <v>628</v>
      </c>
      <c r="I597" s="498" t="s">
        <v>629</v>
      </c>
      <c r="J597" s="501">
        <v>8165</v>
      </c>
    </row>
    <row r="598" spans="1:10" ht="20.25" customHeight="1">
      <c r="A598" s="471">
        <v>5151</v>
      </c>
      <c r="B598" s="477" t="s">
        <v>445</v>
      </c>
      <c r="C598" s="480">
        <v>138</v>
      </c>
      <c r="D598" s="478">
        <v>289</v>
      </c>
      <c r="E598" s="477">
        <v>40030</v>
      </c>
      <c r="F598" s="477" t="s">
        <v>468</v>
      </c>
      <c r="G598" s="479">
        <v>63</v>
      </c>
      <c r="H598" s="477" t="s">
        <v>628</v>
      </c>
      <c r="I598" s="498" t="s">
        <v>629</v>
      </c>
      <c r="J598" s="501">
        <v>8165</v>
      </c>
    </row>
    <row r="599" spans="1:10" ht="20.25" customHeight="1">
      <c r="A599" s="471">
        <v>5151</v>
      </c>
      <c r="B599" s="477" t="s">
        <v>445</v>
      </c>
      <c r="C599" s="473">
        <v>139</v>
      </c>
      <c r="D599" s="478">
        <v>289</v>
      </c>
      <c r="E599" s="477">
        <v>40030</v>
      </c>
      <c r="F599" s="477" t="s">
        <v>468</v>
      </c>
      <c r="G599" s="479">
        <v>63</v>
      </c>
      <c r="H599" s="477" t="s">
        <v>628</v>
      </c>
      <c r="I599" s="498" t="s">
        <v>629</v>
      </c>
      <c r="J599" s="501">
        <v>8165</v>
      </c>
    </row>
    <row r="600" spans="1:10" ht="20.25" customHeight="1">
      <c r="A600" s="471">
        <v>5151</v>
      </c>
      <c r="B600" s="477" t="s">
        <v>445</v>
      </c>
      <c r="C600" s="473">
        <v>140</v>
      </c>
      <c r="D600" s="478">
        <v>289</v>
      </c>
      <c r="E600" s="477">
        <v>40030</v>
      </c>
      <c r="F600" s="477" t="s">
        <v>468</v>
      </c>
      <c r="G600" s="479">
        <v>63</v>
      </c>
      <c r="H600" s="477" t="s">
        <v>628</v>
      </c>
      <c r="I600" s="498" t="s">
        <v>629</v>
      </c>
      <c r="J600" s="501">
        <v>8165</v>
      </c>
    </row>
    <row r="601" spans="1:10" ht="20.25" customHeight="1">
      <c r="A601" s="471">
        <v>5151</v>
      </c>
      <c r="B601" s="477" t="s">
        <v>445</v>
      </c>
      <c r="C601" s="480">
        <v>141</v>
      </c>
      <c r="D601" s="478">
        <v>289</v>
      </c>
      <c r="E601" s="477">
        <v>40030</v>
      </c>
      <c r="F601" s="477" t="s">
        <v>468</v>
      </c>
      <c r="G601" s="479">
        <v>63</v>
      </c>
      <c r="H601" s="477" t="s">
        <v>628</v>
      </c>
      <c r="I601" s="498" t="s">
        <v>629</v>
      </c>
      <c r="J601" s="501">
        <v>8165</v>
      </c>
    </row>
    <row r="602" spans="1:10" ht="20.25" customHeight="1">
      <c r="A602" s="471">
        <v>5151</v>
      </c>
      <c r="B602" s="477" t="s">
        <v>445</v>
      </c>
      <c r="C602" s="473">
        <v>142</v>
      </c>
      <c r="D602" s="478">
        <v>289</v>
      </c>
      <c r="E602" s="477">
        <v>40030</v>
      </c>
      <c r="F602" s="477" t="s">
        <v>468</v>
      </c>
      <c r="G602" s="479">
        <v>63</v>
      </c>
      <c r="H602" s="477" t="s">
        <v>628</v>
      </c>
      <c r="I602" s="498" t="s">
        <v>629</v>
      </c>
      <c r="J602" s="501">
        <v>8165</v>
      </c>
    </row>
    <row r="603" spans="1:10" ht="20.25" customHeight="1">
      <c r="A603" s="471">
        <v>5151</v>
      </c>
      <c r="B603" s="477" t="s">
        <v>445</v>
      </c>
      <c r="C603" s="473">
        <v>143</v>
      </c>
      <c r="D603" s="478">
        <v>289</v>
      </c>
      <c r="E603" s="477">
        <v>40030</v>
      </c>
      <c r="F603" s="477" t="s">
        <v>468</v>
      </c>
      <c r="G603" s="479">
        <v>63</v>
      </c>
      <c r="H603" s="477" t="s">
        <v>628</v>
      </c>
      <c r="I603" s="498" t="s">
        <v>629</v>
      </c>
      <c r="J603" s="501">
        <v>8165</v>
      </c>
    </row>
    <row r="604" spans="1:10" ht="20.25" customHeight="1">
      <c r="A604" s="471">
        <v>5151</v>
      </c>
      <c r="B604" s="477" t="s">
        <v>445</v>
      </c>
      <c r="C604" s="480">
        <v>144</v>
      </c>
      <c r="D604" s="478">
        <v>289</v>
      </c>
      <c r="E604" s="477">
        <v>40030</v>
      </c>
      <c r="F604" s="477" t="s">
        <v>468</v>
      </c>
      <c r="G604" s="479">
        <v>63</v>
      </c>
      <c r="H604" s="477" t="s">
        <v>628</v>
      </c>
      <c r="I604" s="498" t="s">
        <v>629</v>
      </c>
      <c r="J604" s="501">
        <v>8165</v>
      </c>
    </row>
    <row r="605" spans="1:10" ht="20.25" customHeight="1">
      <c r="A605" s="471">
        <v>5151</v>
      </c>
      <c r="B605" s="477" t="s">
        <v>445</v>
      </c>
      <c r="C605" s="473">
        <v>145</v>
      </c>
      <c r="D605" s="478">
        <v>289</v>
      </c>
      <c r="E605" s="477">
        <v>40030</v>
      </c>
      <c r="F605" s="477" t="s">
        <v>468</v>
      </c>
      <c r="G605" s="479">
        <v>63</v>
      </c>
      <c r="H605" s="477" t="s">
        <v>628</v>
      </c>
      <c r="I605" s="498" t="s">
        <v>629</v>
      </c>
      <c r="J605" s="501">
        <v>8165</v>
      </c>
    </row>
    <row r="606" spans="1:10" ht="20.25" customHeight="1">
      <c r="A606" s="471">
        <v>5151</v>
      </c>
      <c r="B606" s="477" t="s">
        <v>445</v>
      </c>
      <c r="C606" s="473">
        <v>146</v>
      </c>
      <c r="D606" s="478">
        <v>289</v>
      </c>
      <c r="E606" s="477">
        <v>40030</v>
      </c>
      <c r="F606" s="477" t="s">
        <v>468</v>
      </c>
      <c r="G606" s="479">
        <v>63</v>
      </c>
      <c r="H606" s="477" t="s">
        <v>628</v>
      </c>
      <c r="I606" s="498" t="s">
        <v>629</v>
      </c>
      <c r="J606" s="501">
        <v>8165</v>
      </c>
    </row>
    <row r="607" spans="1:10" ht="20.25" customHeight="1">
      <c r="A607" s="471">
        <v>5151</v>
      </c>
      <c r="B607" s="472" t="s">
        <v>445</v>
      </c>
      <c r="C607" s="480">
        <v>147</v>
      </c>
      <c r="D607" s="478">
        <v>289</v>
      </c>
      <c r="E607" s="472">
        <v>40030</v>
      </c>
      <c r="F607" s="477" t="s">
        <v>468</v>
      </c>
      <c r="G607" s="479">
        <v>64</v>
      </c>
      <c r="H607" s="477" t="s">
        <v>631</v>
      </c>
      <c r="I607" s="498" t="s">
        <v>632</v>
      </c>
      <c r="J607" s="499">
        <v>13282.5</v>
      </c>
    </row>
    <row r="608" spans="1:10" ht="20.25" customHeight="1">
      <c r="A608" s="471">
        <v>5151</v>
      </c>
      <c r="B608" s="472" t="s">
        <v>445</v>
      </c>
      <c r="C608" s="473">
        <v>148</v>
      </c>
      <c r="D608" s="478">
        <v>289</v>
      </c>
      <c r="E608" s="472">
        <v>40030</v>
      </c>
      <c r="F608" s="477" t="s">
        <v>468</v>
      </c>
      <c r="G608" s="479">
        <v>64</v>
      </c>
      <c r="H608" s="477" t="s">
        <v>631</v>
      </c>
      <c r="I608" s="498" t="s">
        <v>632</v>
      </c>
      <c r="J608" s="499">
        <v>13282.5</v>
      </c>
    </row>
    <row r="609" spans="1:10" ht="20.25" customHeight="1">
      <c r="A609" s="471">
        <v>5151</v>
      </c>
      <c r="B609" s="472" t="s">
        <v>445</v>
      </c>
      <c r="C609" s="473">
        <v>149</v>
      </c>
      <c r="D609" s="478">
        <v>289</v>
      </c>
      <c r="E609" s="472">
        <v>40030</v>
      </c>
      <c r="F609" s="477" t="s">
        <v>468</v>
      </c>
      <c r="G609" s="479">
        <v>64</v>
      </c>
      <c r="H609" s="477" t="s">
        <v>631</v>
      </c>
      <c r="I609" s="498" t="s">
        <v>632</v>
      </c>
      <c r="J609" s="499">
        <v>13282.5</v>
      </c>
    </row>
    <row r="610" spans="1:10" ht="20.25" customHeight="1">
      <c r="A610" s="471">
        <v>5151</v>
      </c>
      <c r="B610" s="472" t="s">
        <v>445</v>
      </c>
      <c r="C610" s="480">
        <v>150</v>
      </c>
      <c r="D610" s="478">
        <v>289</v>
      </c>
      <c r="E610" s="472">
        <v>40030</v>
      </c>
      <c r="F610" s="477" t="s">
        <v>468</v>
      </c>
      <c r="G610" s="479">
        <v>64</v>
      </c>
      <c r="H610" s="477" t="s">
        <v>631</v>
      </c>
      <c r="I610" s="498" t="s">
        <v>633</v>
      </c>
      <c r="J610" s="499">
        <v>13282.5</v>
      </c>
    </row>
    <row r="611" spans="1:10" ht="20.25" customHeight="1">
      <c r="A611" s="471">
        <v>5151</v>
      </c>
      <c r="B611" s="472" t="s">
        <v>445</v>
      </c>
      <c r="C611" s="473">
        <v>151</v>
      </c>
      <c r="D611" s="478">
        <v>289</v>
      </c>
      <c r="E611" s="472">
        <v>40030</v>
      </c>
      <c r="F611" s="477" t="s">
        <v>468</v>
      </c>
      <c r="G611" s="479">
        <v>64</v>
      </c>
      <c r="H611" s="477" t="s">
        <v>631</v>
      </c>
      <c r="I611" s="498" t="s">
        <v>632</v>
      </c>
      <c r="J611" s="499">
        <v>13282.5</v>
      </c>
    </row>
    <row r="612" spans="1:10" ht="20.25" customHeight="1">
      <c r="A612" s="471">
        <v>5151</v>
      </c>
      <c r="B612" s="472" t="s">
        <v>445</v>
      </c>
      <c r="C612" s="473">
        <v>152</v>
      </c>
      <c r="D612" s="478">
        <v>289</v>
      </c>
      <c r="E612" s="472">
        <v>40030</v>
      </c>
      <c r="F612" s="477" t="s">
        <v>468</v>
      </c>
      <c r="G612" s="479">
        <v>64</v>
      </c>
      <c r="H612" s="477" t="s">
        <v>631</v>
      </c>
      <c r="I612" s="498" t="s">
        <v>632</v>
      </c>
      <c r="J612" s="499">
        <v>13282.5</v>
      </c>
    </row>
    <row r="613" spans="1:10" ht="20.25" customHeight="1">
      <c r="A613" s="471">
        <v>5151</v>
      </c>
      <c r="B613" s="472" t="s">
        <v>445</v>
      </c>
      <c r="C613" s="480">
        <v>153</v>
      </c>
      <c r="D613" s="478">
        <v>289</v>
      </c>
      <c r="E613" s="472">
        <v>40030</v>
      </c>
      <c r="F613" s="477" t="s">
        <v>468</v>
      </c>
      <c r="G613" s="479">
        <v>64</v>
      </c>
      <c r="H613" s="477" t="s">
        <v>631</v>
      </c>
      <c r="I613" s="498" t="s">
        <v>632</v>
      </c>
      <c r="J613" s="499">
        <v>13282.5</v>
      </c>
    </row>
    <row r="614" spans="1:10" ht="20.25" customHeight="1">
      <c r="A614" s="471">
        <v>5151</v>
      </c>
      <c r="B614" s="472" t="s">
        <v>445</v>
      </c>
      <c r="C614" s="473">
        <v>154</v>
      </c>
      <c r="D614" s="478">
        <v>289</v>
      </c>
      <c r="E614" s="472">
        <v>40030</v>
      </c>
      <c r="F614" s="477" t="s">
        <v>468</v>
      </c>
      <c r="G614" s="479">
        <v>64</v>
      </c>
      <c r="H614" s="477" t="s">
        <v>631</v>
      </c>
      <c r="I614" s="498" t="s">
        <v>632</v>
      </c>
      <c r="J614" s="499">
        <v>13282.5</v>
      </c>
    </row>
    <row r="615" spans="1:10" ht="20.25" customHeight="1">
      <c r="A615" s="471">
        <v>5151</v>
      </c>
      <c r="B615" s="472" t="s">
        <v>445</v>
      </c>
      <c r="C615" s="473">
        <v>155</v>
      </c>
      <c r="D615" s="478">
        <v>289</v>
      </c>
      <c r="E615" s="472">
        <v>40030</v>
      </c>
      <c r="F615" s="477" t="s">
        <v>468</v>
      </c>
      <c r="G615" s="479">
        <v>64</v>
      </c>
      <c r="H615" s="477" t="s">
        <v>631</v>
      </c>
      <c r="I615" s="498" t="s">
        <v>632</v>
      </c>
      <c r="J615" s="499">
        <v>13282.5</v>
      </c>
    </row>
    <row r="616" spans="1:10" ht="20.25" customHeight="1">
      <c r="A616" s="471">
        <v>5151</v>
      </c>
      <c r="B616" s="472" t="s">
        <v>445</v>
      </c>
      <c r="C616" s="480">
        <v>156</v>
      </c>
      <c r="D616" s="478">
        <v>289</v>
      </c>
      <c r="E616" s="472">
        <v>40030</v>
      </c>
      <c r="F616" s="477" t="s">
        <v>468</v>
      </c>
      <c r="G616" s="479">
        <v>64</v>
      </c>
      <c r="H616" s="477" t="s">
        <v>631</v>
      </c>
      <c r="I616" s="498" t="s">
        <v>632</v>
      </c>
      <c r="J616" s="499">
        <v>13282.5</v>
      </c>
    </row>
    <row r="617" spans="1:10" ht="20.25" customHeight="1">
      <c r="A617" s="471">
        <v>5151</v>
      </c>
      <c r="B617" s="477" t="s">
        <v>445</v>
      </c>
      <c r="C617" s="473">
        <v>157</v>
      </c>
      <c r="D617" s="478">
        <v>289</v>
      </c>
      <c r="E617" s="477">
        <v>40030</v>
      </c>
      <c r="F617" s="477" t="s">
        <v>468</v>
      </c>
      <c r="G617" s="479">
        <v>65</v>
      </c>
      <c r="H617" s="477" t="s">
        <v>634</v>
      </c>
      <c r="I617" s="498" t="s">
        <v>635</v>
      </c>
      <c r="J617" s="501">
        <v>6152.5</v>
      </c>
    </row>
    <row r="618" spans="1:10" ht="20.25" customHeight="1">
      <c r="A618" s="471">
        <v>5151</v>
      </c>
      <c r="B618" s="477" t="s">
        <v>445</v>
      </c>
      <c r="C618" s="473">
        <v>158</v>
      </c>
      <c r="D618" s="478">
        <v>289</v>
      </c>
      <c r="E618" s="477">
        <v>40030</v>
      </c>
      <c r="F618" s="477" t="s">
        <v>468</v>
      </c>
      <c r="G618" s="479">
        <v>65</v>
      </c>
      <c r="H618" s="477" t="s">
        <v>634</v>
      </c>
      <c r="I618" s="498" t="s">
        <v>635</v>
      </c>
      <c r="J618" s="501">
        <v>6152.5</v>
      </c>
    </row>
    <row r="619" spans="1:10" ht="20.25" customHeight="1">
      <c r="A619" s="471">
        <v>5151</v>
      </c>
      <c r="B619" s="477" t="s">
        <v>445</v>
      </c>
      <c r="C619" s="480">
        <v>159</v>
      </c>
      <c r="D619" s="478">
        <v>289</v>
      </c>
      <c r="E619" s="477">
        <v>40030</v>
      </c>
      <c r="F619" s="477" t="s">
        <v>468</v>
      </c>
      <c r="G619" s="479">
        <v>65</v>
      </c>
      <c r="H619" s="477" t="s">
        <v>634</v>
      </c>
      <c r="I619" s="498" t="s">
        <v>635</v>
      </c>
      <c r="J619" s="501">
        <v>6152.5</v>
      </c>
    </row>
    <row r="620" spans="1:10" ht="20.25" customHeight="1">
      <c r="A620" s="471">
        <v>5151</v>
      </c>
      <c r="B620" s="477" t="s">
        <v>445</v>
      </c>
      <c r="C620" s="473">
        <v>160</v>
      </c>
      <c r="D620" s="478">
        <v>291</v>
      </c>
      <c r="E620" s="477">
        <v>40030</v>
      </c>
      <c r="F620" s="477" t="s">
        <v>468</v>
      </c>
      <c r="G620" s="479">
        <v>66</v>
      </c>
      <c r="H620" s="477" t="s">
        <v>636</v>
      </c>
      <c r="I620" s="498" t="s">
        <v>637</v>
      </c>
      <c r="J620" s="501">
        <v>14892.5</v>
      </c>
    </row>
    <row r="621" spans="1:10" ht="20.25" customHeight="1">
      <c r="A621" s="471">
        <v>5151</v>
      </c>
      <c r="B621" s="477" t="s">
        <v>445</v>
      </c>
      <c r="C621" s="473">
        <v>161</v>
      </c>
      <c r="D621" s="478">
        <v>291</v>
      </c>
      <c r="E621" s="477">
        <v>40030</v>
      </c>
      <c r="F621" s="477" t="s">
        <v>468</v>
      </c>
      <c r="G621" s="479">
        <v>66</v>
      </c>
      <c r="H621" s="477" t="s">
        <v>636</v>
      </c>
      <c r="I621" s="498" t="s">
        <v>637</v>
      </c>
      <c r="J621" s="501">
        <v>14892.5</v>
      </c>
    </row>
    <row r="622" spans="1:10" ht="20.25" customHeight="1">
      <c r="A622" s="471">
        <v>5151</v>
      </c>
      <c r="B622" s="477" t="s">
        <v>445</v>
      </c>
      <c r="C622" s="480">
        <v>162</v>
      </c>
      <c r="D622" s="478">
        <v>291</v>
      </c>
      <c r="E622" s="477">
        <v>40030</v>
      </c>
      <c r="F622" s="477" t="s">
        <v>468</v>
      </c>
      <c r="G622" s="479">
        <v>66</v>
      </c>
      <c r="H622" s="477" t="s">
        <v>636</v>
      </c>
      <c r="I622" s="498" t="s">
        <v>637</v>
      </c>
      <c r="J622" s="501">
        <v>14892.5</v>
      </c>
    </row>
    <row r="623" spans="1:10" ht="20.25" customHeight="1">
      <c r="A623" s="471">
        <v>5151</v>
      </c>
      <c r="B623" s="477" t="s">
        <v>445</v>
      </c>
      <c r="C623" s="473">
        <v>163</v>
      </c>
      <c r="D623" s="478">
        <v>291</v>
      </c>
      <c r="E623" s="477">
        <v>40030</v>
      </c>
      <c r="F623" s="477" t="s">
        <v>468</v>
      </c>
      <c r="G623" s="479">
        <v>66</v>
      </c>
      <c r="H623" s="477" t="s">
        <v>636</v>
      </c>
      <c r="I623" s="498" t="s">
        <v>637</v>
      </c>
      <c r="J623" s="501">
        <v>14892.5</v>
      </c>
    </row>
    <row r="624" spans="1:10" ht="20.25" customHeight="1">
      <c r="A624" s="471">
        <v>5151</v>
      </c>
      <c r="B624" s="477" t="s">
        <v>445</v>
      </c>
      <c r="C624" s="473">
        <v>164</v>
      </c>
      <c r="D624" s="478">
        <v>291</v>
      </c>
      <c r="E624" s="477">
        <v>40030</v>
      </c>
      <c r="F624" s="477" t="s">
        <v>468</v>
      </c>
      <c r="G624" s="479">
        <v>66</v>
      </c>
      <c r="H624" s="477" t="s">
        <v>636</v>
      </c>
      <c r="I624" s="498" t="s">
        <v>637</v>
      </c>
      <c r="J624" s="501">
        <v>14892.5</v>
      </c>
    </row>
    <row r="625" spans="1:10" ht="20.25" customHeight="1">
      <c r="A625" s="471">
        <v>5151</v>
      </c>
      <c r="B625" s="477" t="s">
        <v>445</v>
      </c>
      <c r="C625" s="480">
        <v>165</v>
      </c>
      <c r="D625" s="478">
        <v>291</v>
      </c>
      <c r="E625" s="477">
        <v>40030</v>
      </c>
      <c r="F625" s="477" t="s">
        <v>468</v>
      </c>
      <c r="G625" s="479">
        <v>66</v>
      </c>
      <c r="H625" s="477" t="s">
        <v>636</v>
      </c>
      <c r="I625" s="498" t="s">
        <v>637</v>
      </c>
      <c r="J625" s="501">
        <v>14892.5</v>
      </c>
    </row>
    <row r="626" spans="1:10" ht="20.25" customHeight="1">
      <c r="A626" s="471">
        <v>5151</v>
      </c>
      <c r="B626" s="477" t="s">
        <v>445</v>
      </c>
      <c r="C626" s="473">
        <v>166</v>
      </c>
      <c r="D626" s="478">
        <v>291</v>
      </c>
      <c r="E626" s="477">
        <v>40030</v>
      </c>
      <c r="F626" s="477" t="s">
        <v>468</v>
      </c>
      <c r="G626" s="479">
        <v>66</v>
      </c>
      <c r="H626" s="477" t="s">
        <v>636</v>
      </c>
      <c r="I626" s="498" t="s">
        <v>637</v>
      </c>
      <c r="J626" s="501">
        <v>14892.5</v>
      </c>
    </row>
    <row r="627" spans="1:10" ht="20.25" customHeight="1">
      <c r="A627" s="471">
        <v>5151</v>
      </c>
      <c r="B627" s="477" t="s">
        <v>445</v>
      </c>
      <c r="C627" s="473">
        <v>167</v>
      </c>
      <c r="D627" s="478">
        <v>291</v>
      </c>
      <c r="E627" s="477">
        <v>40030</v>
      </c>
      <c r="F627" s="477" t="s">
        <v>468</v>
      </c>
      <c r="G627" s="479">
        <v>66</v>
      </c>
      <c r="H627" s="477" t="s">
        <v>636</v>
      </c>
      <c r="I627" s="498" t="s">
        <v>637</v>
      </c>
      <c r="J627" s="501">
        <v>14892.5</v>
      </c>
    </row>
    <row r="628" spans="1:10" ht="20.25" customHeight="1">
      <c r="A628" s="471">
        <v>5151</v>
      </c>
      <c r="B628" s="477" t="s">
        <v>445</v>
      </c>
      <c r="C628" s="480">
        <v>168</v>
      </c>
      <c r="D628" s="478">
        <v>291</v>
      </c>
      <c r="E628" s="477">
        <v>40030</v>
      </c>
      <c r="F628" s="477" t="s">
        <v>468</v>
      </c>
      <c r="G628" s="479">
        <v>66</v>
      </c>
      <c r="H628" s="477" t="s">
        <v>636</v>
      </c>
      <c r="I628" s="498" t="s">
        <v>637</v>
      </c>
      <c r="J628" s="501">
        <v>14892.5</v>
      </c>
    </row>
    <row r="629" spans="1:10" ht="20.25" customHeight="1">
      <c r="A629" s="471">
        <v>5151</v>
      </c>
      <c r="B629" s="477" t="s">
        <v>445</v>
      </c>
      <c r="C629" s="473">
        <v>169</v>
      </c>
      <c r="D629" s="478">
        <v>291</v>
      </c>
      <c r="E629" s="477">
        <v>40030</v>
      </c>
      <c r="F629" s="477" t="s">
        <v>468</v>
      </c>
      <c r="G629" s="479">
        <v>66</v>
      </c>
      <c r="H629" s="477" t="s">
        <v>636</v>
      </c>
      <c r="I629" s="498" t="s">
        <v>637</v>
      </c>
      <c r="J629" s="501">
        <v>14892.5</v>
      </c>
    </row>
    <row r="630" spans="1:10" ht="20.25" customHeight="1">
      <c r="A630" s="471">
        <v>5151</v>
      </c>
      <c r="B630" s="477" t="s">
        <v>445</v>
      </c>
      <c r="C630" s="473">
        <v>170</v>
      </c>
      <c r="D630" s="478">
        <v>291</v>
      </c>
      <c r="E630" s="477">
        <v>40030</v>
      </c>
      <c r="F630" s="477" t="s">
        <v>468</v>
      </c>
      <c r="G630" s="479">
        <v>66</v>
      </c>
      <c r="H630" s="477" t="s">
        <v>636</v>
      </c>
      <c r="I630" s="498" t="s">
        <v>637</v>
      </c>
      <c r="J630" s="501">
        <v>14892.5</v>
      </c>
    </row>
    <row r="631" spans="1:10" ht="20.25" customHeight="1">
      <c r="A631" s="471">
        <v>5151</v>
      </c>
      <c r="B631" s="477" t="s">
        <v>445</v>
      </c>
      <c r="C631" s="480">
        <v>171</v>
      </c>
      <c r="D631" s="478">
        <v>291</v>
      </c>
      <c r="E631" s="477">
        <v>40030</v>
      </c>
      <c r="F631" s="477" t="s">
        <v>468</v>
      </c>
      <c r="G631" s="479">
        <v>66</v>
      </c>
      <c r="H631" s="477" t="s">
        <v>636</v>
      </c>
      <c r="I631" s="498" t="s">
        <v>637</v>
      </c>
      <c r="J631" s="501">
        <v>14892.5</v>
      </c>
    </row>
    <row r="632" spans="1:10" ht="20.25" customHeight="1">
      <c r="A632" s="471">
        <v>5151</v>
      </c>
      <c r="B632" s="477" t="s">
        <v>445</v>
      </c>
      <c r="C632" s="473">
        <v>172</v>
      </c>
      <c r="D632" s="478">
        <v>291</v>
      </c>
      <c r="E632" s="477">
        <v>40030</v>
      </c>
      <c r="F632" s="477" t="s">
        <v>468</v>
      </c>
      <c r="G632" s="479">
        <v>66</v>
      </c>
      <c r="H632" s="477" t="s">
        <v>636</v>
      </c>
      <c r="I632" s="498" t="s">
        <v>637</v>
      </c>
      <c r="J632" s="501">
        <v>14892.5</v>
      </c>
    </row>
    <row r="633" spans="1:10" ht="20.25" customHeight="1">
      <c r="A633" s="471">
        <v>5151</v>
      </c>
      <c r="B633" s="477" t="s">
        <v>445</v>
      </c>
      <c r="C633" s="473">
        <v>173</v>
      </c>
      <c r="D633" s="478">
        <v>291</v>
      </c>
      <c r="E633" s="477">
        <v>40030</v>
      </c>
      <c r="F633" s="477" t="s">
        <v>468</v>
      </c>
      <c r="G633" s="479">
        <v>66</v>
      </c>
      <c r="H633" s="477" t="s">
        <v>636</v>
      </c>
      <c r="I633" s="498" t="s">
        <v>637</v>
      </c>
      <c r="J633" s="501">
        <v>14892.5</v>
      </c>
    </row>
    <row r="634" spans="1:10" ht="20.25" customHeight="1">
      <c r="A634" s="471">
        <v>5151</v>
      </c>
      <c r="B634" s="472" t="s">
        <v>445</v>
      </c>
      <c r="C634" s="480">
        <v>174</v>
      </c>
      <c r="D634" s="478">
        <v>291</v>
      </c>
      <c r="E634" s="472">
        <v>40030</v>
      </c>
      <c r="F634" s="477" t="s">
        <v>468</v>
      </c>
      <c r="G634" s="479">
        <v>67</v>
      </c>
      <c r="H634" s="477" t="s">
        <v>638</v>
      </c>
      <c r="I634" s="498" t="s">
        <v>639</v>
      </c>
      <c r="J634" s="499">
        <f>6650*1.15</f>
        <v>7647.4999999999991</v>
      </c>
    </row>
    <row r="635" spans="1:10" ht="20.25" customHeight="1">
      <c r="A635" s="471">
        <v>5151</v>
      </c>
      <c r="B635" s="472" t="s">
        <v>445</v>
      </c>
      <c r="C635" s="473">
        <v>175</v>
      </c>
      <c r="D635" s="478">
        <v>291</v>
      </c>
      <c r="E635" s="472">
        <v>40030</v>
      </c>
      <c r="F635" s="477" t="s">
        <v>468</v>
      </c>
      <c r="G635" s="479">
        <v>67</v>
      </c>
      <c r="H635" s="477" t="s">
        <v>638</v>
      </c>
      <c r="I635" s="498" t="s">
        <v>639</v>
      </c>
      <c r="J635" s="499">
        <f>6650*1.15</f>
        <v>7647.4999999999991</v>
      </c>
    </row>
    <row r="636" spans="1:10" ht="20.25" customHeight="1">
      <c r="A636" s="471">
        <v>5151</v>
      </c>
      <c r="B636" s="472" t="s">
        <v>445</v>
      </c>
      <c r="C636" s="473">
        <v>176</v>
      </c>
      <c r="D636" s="478">
        <v>291</v>
      </c>
      <c r="E636" s="472">
        <v>40030</v>
      </c>
      <c r="F636" s="477" t="s">
        <v>468</v>
      </c>
      <c r="G636" s="479">
        <v>67</v>
      </c>
      <c r="H636" s="477" t="s">
        <v>638</v>
      </c>
      <c r="I636" s="498" t="s">
        <v>639</v>
      </c>
      <c r="J636" s="499">
        <f>6650*1.15</f>
        <v>7647.4999999999991</v>
      </c>
    </row>
    <row r="637" spans="1:10" ht="20.25" customHeight="1">
      <c r="A637" s="471">
        <v>5151</v>
      </c>
      <c r="B637" s="477" t="s">
        <v>445</v>
      </c>
      <c r="C637" s="480">
        <v>177</v>
      </c>
      <c r="D637" s="478">
        <v>291</v>
      </c>
      <c r="E637" s="477">
        <v>40030</v>
      </c>
      <c r="F637" s="477" t="s">
        <v>468</v>
      </c>
      <c r="G637" s="479">
        <v>68</v>
      </c>
      <c r="H637" s="477" t="s">
        <v>640</v>
      </c>
      <c r="I637" s="498" t="s">
        <v>641</v>
      </c>
      <c r="J637" s="501">
        <v>15295</v>
      </c>
    </row>
    <row r="638" spans="1:10" ht="20.25" customHeight="1">
      <c r="A638" s="471">
        <v>5151</v>
      </c>
      <c r="B638" s="472" t="s">
        <v>445</v>
      </c>
      <c r="C638" s="473">
        <v>178</v>
      </c>
      <c r="D638" s="471">
        <v>897</v>
      </c>
      <c r="E638" s="472">
        <v>40035</v>
      </c>
      <c r="F638" s="477" t="s">
        <v>468</v>
      </c>
      <c r="G638" s="479">
        <v>69</v>
      </c>
      <c r="H638" s="477" t="s">
        <v>642</v>
      </c>
      <c r="I638" s="498" t="s">
        <v>643</v>
      </c>
      <c r="J638" s="499">
        <v>68390.5</v>
      </c>
    </row>
    <row r="639" spans="1:10" ht="20.25" customHeight="1">
      <c r="A639" s="471">
        <v>5151</v>
      </c>
      <c r="B639" s="472" t="s">
        <v>445</v>
      </c>
      <c r="C639" s="473">
        <v>179</v>
      </c>
      <c r="D639" s="471">
        <v>1180</v>
      </c>
      <c r="E639" s="472">
        <v>40043</v>
      </c>
      <c r="F639" s="477" t="s">
        <v>446</v>
      </c>
      <c r="G639" s="479">
        <v>70</v>
      </c>
      <c r="H639" s="477" t="s">
        <v>644</v>
      </c>
      <c r="I639" s="498" t="s">
        <v>645</v>
      </c>
      <c r="J639" s="499">
        <v>20125</v>
      </c>
    </row>
    <row r="640" spans="1:10" ht="20.25" customHeight="1">
      <c r="A640" s="471">
        <v>5151</v>
      </c>
      <c r="B640" s="472" t="s">
        <v>445</v>
      </c>
      <c r="C640" s="480">
        <v>180</v>
      </c>
      <c r="D640" s="471">
        <v>1180</v>
      </c>
      <c r="E640" s="472">
        <v>40043</v>
      </c>
      <c r="F640" s="477" t="s">
        <v>446</v>
      </c>
      <c r="G640" s="479">
        <v>70</v>
      </c>
      <c r="H640" s="477" t="s">
        <v>644</v>
      </c>
      <c r="I640" s="498" t="s">
        <v>645</v>
      </c>
      <c r="J640" s="499">
        <v>20125</v>
      </c>
    </row>
    <row r="641" spans="1:10" ht="20.25" customHeight="1">
      <c r="A641" s="471">
        <v>5151</v>
      </c>
      <c r="B641" s="472" t="s">
        <v>445</v>
      </c>
      <c r="C641" s="473">
        <v>181</v>
      </c>
      <c r="D641" s="471">
        <v>1180</v>
      </c>
      <c r="E641" s="472">
        <v>40043</v>
      </c>
      <c r="F641" s="477" t="s">
        <v>446</v>
      </c>
      <c r="G641" s="479">
        <v>70</v>
      </c>
      <c r="H641" s="477" t="s">
        <v>644</v>
      </c>
      <c r="I641" s="498" t="s">
        <v>645</v>
      </c>
      <c r="J641" s="499">
        <v>20125</v>
      </c>
    </row>
    <row r="642" spans="1:10" ht="20.25" customHeight="1">
      <c r="A642" s="471">
        <v>5151</v>
      </c>
      <c r="B642" s="472" t="s">
        <v>445</v>
      </c>
      <c r="C642" s="473">
        <v>182</v>
      </c>
      <c r="D642" s="471">
        <v>1180</v>
      </c>
      <c r="E642" s="472">
        <v>40043</v>
      </c>
      <c r="F642" s="477" t="s">
        <v>446</v>
      </c>
      <c r="G642" s="479">
        <v>70</v>
      </c>
      <c r="H642" s="477" t="s">
        <v>644</v>
      </c>
      <c r="I642" s="498" t="s">
        <v>645</v>
      </c>
      <c r="J642" s="499">
        <v>20125</v>
      </c>
    </row>
    <row r="643" spans="1:10" ht="20.25" customHeight="1">
      <c r="A643" s="471">
        <v>5151</v>
      </c>
      <c r="B643" s="472" t="s">
        <v>445</v>
      </c>
      <c r="C643" s="480">
        <v>183</v>
      </c>
      <c r="D643" s="471">
        <v>1180</v>
      </c>
      <c r="E643" s="472">
        <v>40043</v>
      </c>
      <c r="F643" s="477" t="s">
        <v>446</v>
      </c>
      <c r="G643" s="479">
        <v>70</v>
      </c>
      <c r="H643" s="477" t="s">
        <v>644</v>
      </c>
      <c r="I643" s="498" t="s">
        <v>645</v>
      </c>
      <c r="J643" s="499">
        <v>20125</v>
      </c>
    </row>
    <row r="644" spans="1:10" ht="20.25" customHeight="1">
      <c r="A644" s="471">
        <v>5151</v>
      </c>
      <c r="B644" s="472" t="s">
        <v>445</v>
      </c>
      <c r="C644" s="473">
        <v>184</v>
      </c>
      <c r="D644" s="471">
        <v>708</v>
      </c>
      <c r="E644" s="472">
        <v>40168</v>
      </c>
      <c r="F644" s="477" t="s">
        <v>468</v>
      </c>
      <c r="G644" s="479">
        <v>71</v>
      </c>
      <c r="H644" s="477" t="s">
        <v>646</v>
      </c>
      <c r="I644" s="498" t="s">
        <v>647</v>
      </c>
      <c r="J644" s="499">
        <f>7150*1.15</f>
        <v>8222.5</v>
      </c>
    </row>
    <row r="645" spans="1:10" ht="20.25" customHeight="1">
      <c r="A645" s="471">
        <v>5151</v>
      </c>
      <c r="B645" s="472" t="s">
        <v>445</v>
      </c>
      <c r="C645" s="473">
        <v>185</v>
      </c>
      <c r="D645" s="471">
        <v>708</v>
      </c>
      <c r="E645" s="472">
        <v>40168</v>
      </c>
      <c r="F645" s="477" t="s">
        <v>468</v>
      </c>
      <c r="G645" s="479">
        <v>71</v>
      </c>
      <c r="H645" s="477" t="s">
        <v>646</v>
      </c>
      <c r="I645" s="498" t="s">
        <v>647</v>
      </c>
      <c r="J645" s="499">
        <f>7150*1.15</f>
        <v>8222.5</v>
      </c>
    </row>
    <row r="646" spans="1:10" ht="20.25" customHeight="1">
      <c r="A646" s="471">
        <v>5151</v>
      </c>
      <c r="B646" s="472" t="s">
        <v>445</v>
      </c>
      <c r="C646" s="480">
        <v>186</v>
      </c>
      <c r="D646" s="471">
        <v>708</v>
      </c>
      <c r="E646" s="472">
        <v>40168</v>
      </c>
      <c r="F646" s="477" t="s">
        <v>468</v>
      </c>
      <c r="G646" s="479">
        <v>71</v>
      </c>
      <c r="H646" s="477" t="s">
        <v>646</v>
      </c>
      <c r="I646" s="498" t="s">
        <v>647</v>
      </c>
      <c r="J646" s="499">
        <f>7150*1.15</f>
        <v>8222.5</v>
      </c>
    </row>
    <row r="647" spans="1:10" ht="20.25" customHeight="1">
      <c r="A647" s="471">
        <v>5151</v>
      </c>
      <c r="B647" s="472" t="s">
        <v>445</v>
      </c>
      <c r="C647" s="473">
        <v>187</v>
      </c>
      <c r="D647" s="471">
        <v>811</v>
      </c>
      <c r="E647" s="472">
        <v>40191</v>
      </c>
      <c r="F647" s="477" t="s">
        <v>468</v>
      </c>
      <c r="G647" s="479">
        <v>73</v>
      </c>
      <c r="H647" s="477" t="s">
        <v>648</v>
      </c>
      <c r="I647" s="498" t="s">
        <v>649</v>
      </c>
      <c r="J647" s="499">
        <v>172260</v>
      </c>
    </row>
    <row r="648" spans="1:10" ht="20.25" customHeight="1">
      <c r="A648" s="471">
        <v>5151</v>
      </c>
      <c r="B648" s="472" t="s">
        <v>445</v>
      </c>
      <c r="C648" s="473" t="s">
        <v>650</v>
      </c>
      <c r="D648" s="471"/>
      <c r="E648" s="472">
        <v>40225</v>
      </c>
      <c r="F648" s="477" t="s">
        <v>446</v>
      </c>
      <c r="G648" s="479">
        <v>72</v>
      </c>
      <c r="H648" s="477" t="s">
        <v>651</v>
      </c>
      <c r="I648" s="498" t="s">
        <v>652</v>
      </c>
      <c r="J648" s="499">
        <v>3248</v>
      </c>
    </row>
    <row r="649" spans="1:10" ht="20.25" customHeight="1">
      <c r="A649" s="471">
        <v>5151</v>
      </c>
      <c r="B649" s="472" t="s">
        <v>445</v>
      </c>
      <c r="C649" s="473">
        <v>188</v>
      </c>
      <c r="D649" s="471">
        <v>2683</v>
      </c>
      <c r="E649" s="472">
        <v>40240</v>
      </c>
      <c r="F649" s="477" t="s">
        <v>468</v>
      </c>
      <c r="G649" s="479">
        <v>74</v>
      </c>
      <c r="H649" s="477" t="s">
        <v>653</v>
      </c>
      <c r="I649" s="498" t="s">
        <v>654</v>
      </c>
      <c r="J649" s="499">
        <f>42174.31*1.16</f>
        <v>48922.199599999993</v>
      </c>
    </row>
    <row r="650" spans="1:10" ht="20.25" customHeight="1">
      <c r="A650" s="471">
        <v>5151</v>
      </c>
      <c r="B650" s="472" t="s">
        <v>445</v>
      </c>
      <c r="C650" s="480">
        <v>189</v>
      </c>
      <c r="D650" s="471">
        <v>2683</v>
      </c>
      <c r="E650" s="472">
        <v>40240</v>
      </c>
      <c r="F650" s="477" t="s">
        <v>468</v>
      </c>
      <c r="G650" s="479">
        <v>74</v>
      </c>
      <c r="H650" s="477" t="s">
        <v>653</v>
      </c>
      <c r="I650" s="498" t="s">
        <v>654</v>
      </c>
      <c r="J650" s="499">
        <f>42174.31*1.16</f>
        <v>48922.199599999993</v>
      </c>
    </row>
    <row r="651" spans="1:10" ht="20.25" customHeight="1">
      <c r="A651" s="471">
        <v>5151</v>
      </c>
      <c r="B651" s="472" t="s">
        <v>445</v>
      </c>
      <c r="C651" s="473">
        <v>190</v>
      </c>
      <c r="D651" s="471">
        <v>2683</v>
      </c>
      <c r="E651" s="472">
        <v>40240</v>
      </c>
      <c r="F651" s="477" t="s">
        <v>468</v>
      </c>
      <c r="G651" s="479">
        <v>74</v>
      </c>
      <c r="H651" s="477" t="s">
        <v>653</v>
      </c>
      <c r="I651" s="498" t="s">
        <v>654</v>
      </c>
      <c r="J651" s="499">
        <f>42174.31*1.16</f>
        <v>48922.199599999993</v>
      </c>
    </row>
    <row r="652" spans="1:10" ht="20.25" customHeight="1">
      <c r="A652" s="471">
        <v>5151</v>
      </c>
      <c r="B652" s="472" t="s">
        <v>445</v>
      </c>
      <c r="C652" s="473">
        <v>191</v>
      </c>
      <c r="D652" s="471">
        <v>2683</v>
      </c>
      <c r="E652" s="472">
        <v>40240</v>
      </c>
      <c r="F652" s="477" t="s">
        <v>468</v>
      </c>
      <c r="G652" s="479">
        <v>75</v>
      </c>
      <c r="H652" s="477" t="s">
        <v>655</v>
      </c>
      <c r="I652" s="498" t="s">
        <v>656</v>
      </c>
      <c r="J652" s="499">
        <f>(626076.21+30205.34+12082.14+520.08)*1.16</f>
        <v>775905.17319999984</v>
      </c>
    </row>
    <row r="653" spans="1:10" ht="20.25" customHeight="1">
      <c r="A653" s="471">
        <v>5151</v>
      </c>
      <c r="B653" s="474" t="s">
        <v>445</v>
      </c>
      <c r="C653" s="480">
        <v>192</v>
      </c>
      <c r="D653" s="471">
        <v>47720</v>
      </c>
      <c r="E653" s="474">
        <v>40480</v>
      </c>
      <c r="F653" s="475" t="s">
        <v>468</v>
      </c>
      <c r="G653" s="476">
        <v>160</v>
      </c>
      <c r="H653" s="475" t="s">
        <v>657</v>
      </c>
      <c r="I653" s="478" t="s">
        <v>658</v>
      </c>
      <c r="J653" s="497">
        <v>1736278.78</v>
      </c>
    </row>
    <row r="654" spans="1:10" ht="20.25" customHeight="1">
      <c r="A654" s="471">
        <v>5151</v>
      </c>
      <c r="B654" s="474" t="s">
        <v>445</v>
      </c>
      <c r="C654" s="473">
        <v>193</v>
      </c>
      <c r="D654" s="471">
        <v>47720</v>
      </c>
      <c r="E654" s="474">
        <v>40480</v>
      </c>
      <c r="F654" s="475" t="s">
        <v>468</v>
      </c>
      <c r="G654" s="476">
        <v>160</v>
      </c>
      <c r="H654" s="475" t="s">
        <v>657</v>
      </c>
      <c r="I654" s="478" t="s">
        <v>659</v>
      </c>
      <c r="J654" s="497">
        <v>0</v>
      </c>
    </row>
    <row r="655" spans="1:10" ht="20.25" customHeight="1">
      <c r="A655" s="471">
        <v>5151</v>
      </c>
      <c r="B655" s="477" t="s">
        <v>445</v>
      </c>
      <c r="C655" s="473">
        <v>194</v>
      </c>
      <c r="D655" s="478">
        <v>1654</v>
      </c>
      <c r="E655" s="477">
        <v>40555</v>
      </c>
      <c r="F655" s="475" t="s">
        <v>468</v>
      </c>
      <c r="G655" s="476">
        <v>76</v>
      </c>
      <c r="H655" s="475" t="s">
        <v>660</v>
      </c>
      <c r="I655" s="498" t="s">
        <v>661</v>
      </c>
      <c r="J655" s="503">
        <f t="shared" ref="J655:J671" si="19">7050*1.16</f>
        <v>8177.9999999999991</v>
      </c>
    </row>
    <row r="656" spans="1:10" ht="20.25" customHeight="1">
      <c r="A656" s="471">
        <v>5151</v>
      </c>
      <c r="B656" s="477" t="s">
        <v>445</v>
      </c>
      <c r="C656" s="480">
        <v>195</v>
      </c>
      <c r="D656" s="478">
        <v>1654</v>
      </c>
      <c r="E656" s="477">
        <v>40555</v>
      </c>
      <c r="F656" s="475" t="s">
        <v>468</v>
      </c>
      <c r="G656" s="476">
        <v>76</v>
      </c>
      <c r="H656" s="475" t="s">
        <v>660</v>
      </c>
      <c r="I656" s="498" t="s">
        <v>661</v>
      </c>
      <c r="J656" s="503">
        <f t="shared" si="19"/>
        <v>8177.9999999999991</v>
      </c>
    </row>
    <row r="657" spans="1:10" ht="20.25" customHeight="1">
      <c r="A657" s="471">
        <v>5151</v>
      </c>
      <c r="B657" s="477" t="s">
        <v>445</v>
      </c>
      <c r="C657" s="473">
        <v>196</v>
      </c>
      <c r="D657" s="478">
        <v>1654</v>
      </c>
      <c r="E657" s="477">
        <v>40555</v>
      </c>
      <c r="F657" s="475" t="s">
        <v>468</v>
      </c>
      <c r="G657" s="476">
        <v>76</v>
      </c>
      <c r="H657" s="475" t="s">
        <v>660</v>
      </c>
      <c r="I657" s="498" t="s">
        <v>661</v>
      </c>
      <c r="J657" s="503">
        <f t="shared" si="19"/>
        <v>8177.9999999999991</v>
      </c>
    </row>
    <row r="658" spans="1:10" ht="20.25" customHeight="1">
      <c r="A658" s="471">
        <v>5151</v>
      </c>
      <c r="B658" s="477" t="s">
        <v>445</v>
      </c>
      <c r="C658" s="473">
        <v>197</v>
      </c>
      <c r="D658" s="478">
        <v>1654</v>
      </c>
      <c r="E658" s="477">
        <v>40555</v>
      </c>
      <c r="F658" s="475" t="s">
        <v>468</v>
      </c>
      <c r="G658" s="476">
        <v>76</v>
      </c>
      <c r="H658" s="475" t="s">
        <v>660</v>
      </c>
      <c r="I658" s="498" t="s">
        <v>661</v>
      </c>
      <c r="J658" s="503">
        <f t="shared" si="19"/>
        <v>8177.9999999999991</v>
      </c>
    </row>
    <row r="659" spans="1:10" ht="20.25" customHeight="1">
      <c r="A659" s="471">
        <v>5151</v>
      </c>
      <c r="B659" s="477" t="s">
        <v>445</v>
      </c>
      <c r="C659" s="480">
        <v>198</v>
      </c>
      <c r="D659" s="478">
        <v>1654</v>
      </c>
      <c r="E659" s="477">
        <v>40555</v>
      </c>
      <c r="F659" s="475" t="s">
        <v>468</v>
      </c>
      <c r="G659" s="476">
        <v>76</v>
      </c>
      <c r="H659" s="475" t="s">
        <v>660</v>
      </c>
      <c r="I659" s="498" t="s">
        <v>661</v>
      </c>
      <c r="J659" s="503">
        <f t="shared" si="19"/>
        <v>8177.9999999999991</v>
      </c>
    </row>
    <row r="660" spans="1:10" ht="20.25" customHeight="1">
      <c r="A660" s="471">
        <v>5151</v>
      </c>
      <c r="B660" s="477" t="s">
        <v>445</v>
      </c>
      <c r="C660" s="473">
        <v>199</v>
      </c>
      <c r="D660" s="478">
        <v>1654</v>
      </c>
      <c r="E660" s="477">
        <v>40555</v>
      </c>
      <c r="F660" s="475" t="s">
        <v>468</v>
      </c>
      <c r="G660" s="476">
        <v>76</v>
      </c>
      <c r="H660" s="475" t="s">
        <v>660</v>
      </c>
      <c r="I660" s="498" t="s">
        <v>661</v>
      </c>
      <c r="J660" s="503">
        <f t="shared" si="19"/>
        <v>8177.9999999999991</v>
      </c>
    </row>
    <row r="661" spans="1:10" ht="20.25" customHeight="1">
      <c r="A661" s="471">
        <v>5151</v>
      </c>
      <c r="B661" s="477" t="s">
        <v>445</v>
      </c>
      <c r="C661" s="473">
        <v>200</v>
      </c>
      <c r="D661" s="478">
        <v>1654</v>
      </c>
      <c r="E661" s="477">
        <v>40555</v>
      </c>
      <c r="F661" s="475" t="s">
        <v>468</v>
      </c>
      <c r="G661" s="476">
        <v>76</v>
      </c>
      <c r="H661" s="475" t="s">
        <v>660</v>
      </c>
      <c r="I661" s="498" t="s">
        <v>661</v>
      </c>
      <c r="J661" s="503">
        <f t="shared" si="19"/>
        <v>8177.9999999999991</v>
      </c>
    </row>
    <row r="662" spans="1:10" ht="20.25" customHeight="1">
      <c r="A662" s="471">
        <v>5151</v>
      </c>
      <c r="B662" s="477" t="s">
        <v>445</v>
      </c>
      <c r="C662" s="480">
        <v>201</v>
      </c>
      <c r="D662" s="478">
        <v>1654</v>
      </c>
      <c r="E662" s="477">
        <v>40555</v>
      </c>
      <c r="F662" s="475" t="s">
        <v>468</v>
      </c>
      <c r="G662" s="476">
        <v>76</v>
      </c>
      <c r="H662" s="475" t="s">
        <v>660</v>
      </c>
      <c r="I662" s="498" t="s">
        <v>661</v>
      </c>
      <c r="J662" s="503">
        <f t="shared" si="19"/>
        <v>8177.9999999999991</v>
      </c>
    </row>
    <row r="663" spans="1:10" ht="20.25" customHeight="1">
      <c r="A663" s="471">
        <v>5151</v>
      </c>
      <c r="B663" s="477" t="s">
        <v>445</v>
      </c>
      <c r="C663" s="473">
        <v>202</v>
      </c>
      <c r="D663" s="478">
        <v>1654</v>
      </c>
      <c r="E663" s="477">
        <v>40555</v>
      </c>
      <c r="F663" s="475" t="s">
        <v>468</v>
      </c>
      <c r="G663" s="476">
        <v>76</v>
      </c>
      <c r="H663" s="475" t="s">
        <v>660</v>
      </c>
      <c r="I663" s="498" t="s">
        <v>661</v>
      </c>
      <c r="J663" s="503">
        <f t="shared" si="19"/>
        <v>8177.9999999999991</v>
      </c>
    </row>
    <row r="664" spans="1:10" ht="20.25" customHeight="1">
      <c r="A664" s="471">
        <v>5151</v>
      </c>
      <c r="B664" s="477" t="s">
        <v>445</v>
      </c>
      <c r="C664" s="473">
        <v>203</v>
      </c>
      <c r="D664" s="478">
        <v>1654</v>
      </c>
      <c r="E664" s="477">
        <v>40555</v>
      </c>
      <c r="F664" s="475" t="s">
        <v>468</v>
      </c>
      <c r="G664" s="476">
        <v>76</v>
      </c>
      <c r="H664" s="475" t="s">
        <v>660</v>
      </c>
      <c r="I664" s="498" t="s">
        <v>661</v>
      </c>
      <c r="J664" s="503">
        <f t="shared" si="19"/>
        <v>8177.9999999999991</v>
      </c>
    </row>
    <row r="665" spans="1:10" ht="20.25" customHeight="1">
      <c r="A665" s="471">
        <v>5151</v>
      </c>
      <c r="B665" s="477" t="s">
        <v>445</v>
      </c>
      <c r="C665" s="480">
        <v>204</v>
      </c>
      <c r="D665" s="478">
        <v>1654</v>
      </c>
      <c r="E665" s="477">
        <v>40555</v>
      </c>
      <c r="F665" s="475" t="s">
        <v>468</v>
      </c>
      <c r="G665" s="476">
        <v>76</v>
      </c>
      <c r="H665" s="475" t="s">
        <v>660</v>
      </c>
      <c r="I665" s="498" t="s">
        <v>661</v>
      </c>
      <c r="J665" s="503">
        <f t="shared" si="19"/>
        <v>8177.9999999999991</v>
      </c>
    </row>
    <row r="666" spans="1:10" ht="20.25" customHeight="1">
      <c r="A666" s="471">
        <v>5151</v>
      </c>
      <c r="B666" s="477" t="s">
        <v>445</v>
      </c>
      <c r="C666" s="473">
        <v>205</v>
      </c>
      <c r="D666" s="478">
        <v>1654</v>
      </c>
      <c r="E666" s="477">
        <v>40555</v>
      </c>
      <c r="F666" s="475" t="s">
        <v>468</v>
      </c>
      <c r="G666" s="476">
        <v>76</v>
      </c>
      <c r="H666" s="475" t="s">
        <v>660</v>
      </c>
      <c r="I666" s="498" t="s">
        <v>661</v>
      </c>
      <c r="J666" s="503">
        <f t="shared" si="19"/>
        <v>8177.9999999999991</v>
      </c>
    </row>
    <row r="667" spans="1:10" ht="20.25" customHeight="1">
      <c r="A667" s="471">
        <v>5151</v>
      </c>
      <c r="B667" s="477" t="s">
        <v>445</v>
      </c>
      <c r="C667" s="473">
        <v>206</v>
      </c>
      <c r="D667" s="478">
        <v>1654</v>
      </c>
      <c r="E667" s="477">
        <v>40555</v>
      </c>
      <c r="F667" s="475" t="s">
        <v>468</v>
      </c>
      <c r="G667" s="476">
        <v>76</v>
      </c>
      <c r="H667" s="475" t="s">
        <v>660</v>
      </c>
      <c r="I667" s="498" t="s">
        <v>661</v>
      </c>
      <c r="J667" s="503">
        <f t="shared" si="19"/>
        <v>8177.9999999999991</v>
      </c>
    </row>
    <row r="668" spans="1:10" ht="20.25" customHeight="1">
      <c r="A668" s="471">
        <v>5151</v>
      </c>
      <c r="B668" s="477" t="s">
        <v>445</v>
      </c>
      <c r="C668" s="480">
        <v>207</v>
      </c>
      <c r="D668" s="478">
        <v>1654</v>
      </c>
      <c r="E668" s="477">
        <v>40555</v>
      </c>
      <c r="F668" s="475" t="s">
        <v>468</v>
      </c>
      <c r="G668" s="476">
        <v>76</v>
      </c>
      <c r="H668" s="475" t="s">
        <v>660</v>
      </c>
      <c r="I668" s="498" t="s">
        <v>661</v>
      </c>
      <c r="J668" s="503">
        <f t="shared" si="19"/>
        <v>8177.9999999999991</v>
      </c>
    </row>
    <row r="669" spans="1:10" ht="20.25" customHeight="1">
      <c r="A669" s="471">
        <v>5151</v>
      </c>
      <c r="B669" s="477" t="s">
        <v>445</v>
      </c>
      <c r="C669" s="473">
        <v>208</v>
      </c>
      <c r="D669" s="478">
        <v>1654</v>
      </c>
      <c r="E669" s="477">
        <v>40555</v>
      </c>
      <c r="F669" s="475" t="s">
        <v>468</v>
      </c>
      <c r="G669" s="476">
        <v>76</v>
      </c>
      <c r="H669" s="475" t="s">
        <v>660</v>
      </c>
      <c r="I669" s="498" t="s">
        <v>661</v>
      </c>
      <c r="J669" s="503">
        <f t="shared" si="19"/>
        <v>8177.9999999999991</v>
      </c>
    </row>
    <row r="670" spans="1:10" ht="20.25" customHeight="1">
      <c r="A670" s="471">
        <v>5151</v>
      </c>
      <c r="B670" s="477" t="s">
        <v>445</v>
      </c>
      <c r="C670" s="473">
        <v>209</v>
      </c>
      <c r="D670" s="478">
        <v>1654</v>
      </c>
      <c r="E670" s="477">
        <v>40555</v>
      </c>
      <c r="F670" s="475" t="s">
        <v>468</v>
      </c>
      <c r="G670" s="476">
        <v>76</v>
      </c>
      <c r="H670" s="475" t="s">
        <v>660</v>
      </c>
      <c r="I670" s="498" t="s">
        <v>661</v>
      </c>
      <c r="J670" s="503">
        <f t="shared" si="19"/>
        <v>8177.9999999999991</v>
      </c>
    </row>
    <row r="671" spans="1:10" ht="20.25" customHeight="1">
      <c r="A671" s="471">
        <v>5151</v>
      </c>
      <c r="B671" s="477" t="s">
        <v>445</v>
      </c>
      <c r="C671" s="480">
        <v>210</v>
      </c>
      <c r="D671" s="478">
        <v>1654</v>
      </c>
      <c r="E671" s="477">
        <v>40555</v>
      </c>
      <c r="F671" s="475" t="s">
        <v>468</v>
      </c>
      <c r="G671" s="476">
        <v>76</v>
      </c>
      <c r="H671" s="475" t="s">
        <v>660</v>
      </c>
      <c r="I671" s="498" t="s">
        <v>661</v>
      </c>
      <c r="J671" s="503">
        <f t="shared" si="19"/>
        <v>8177.9999999999991</v>
      </c>
    </row>
    <row r="672" spans="1:10" ht="20.25" customHeight="1">
      <c r="A672" s="471">
        <v>5151</v>
      </c>
      <c r="B672" s="477" t="s">
        <v>445</v>
      </c>
      <c r="C672" s="473">
        <v>211</v>
      </c>
      <c r="D672" s="478">
        <v>1654</v>
      </c>
      <c r="E672" s="477">
        <v>40555</v>
      </c>
      <c r="F672" s="475" t="s">
        <v>468</v>
      </c>
      <c r="G672" s="476">
        <v>77</v>
      </c>
      <c r="H672" s="475" t="s">
        <v>662</v>
      </c>
      <c r="I672" s="498" t="s">
        <v>663</v>
      </c>
      <c r="J672" s="503">
        <f>10550*1.16</f>
        <v>12238</v>
      </c>
    </row>
    <row r="673" spans="1:10" ht="20.25" customHeight="1">
      <c r="A673" s="471">
        <v>5151</v>
      </c>
      <c r="B673" s="477" t="s">
        <v>445</v>
      </c>
      <c r="C673" s="473">
        <v>212</v>
      </c>
      <c r="D673" s="478">
        <v>1654</v>
      </c>
      <c r="E673" s="477">
        <v>40555</v>
      </c>
      <c r="F673" s="475" t="s">
        <v>468</v>
      </c>
      <c r="G673" s="476">
        <v>77</v>
      </c>
      <c r="H673" s="475" t="s">
        <v>662</v>
      </c>
      <c r="I673" s="498" t="s">
        <v>663</v>
      </c>
      <c r="J673" s="503">
        <f>10550*1.16</f>
        <v>12238</v>
      </c>
    </row>
    <row r="674" spans="1:10" ht="20.25" customHeight="1">
      <c r="A674" s="471">
        <v>5151</v>
      </c>
      <c r="B674" s="477" t="s">
        <v>445</v>
      </c>
      <c r="C674" s="480">
        <v>213</v>
      </c>
      <c r="D674" s="478">
        <v>748</v>
      </c>
      <c r="E674" s="477">
        <v>40561</v>
      </c>
      <c r="F674" s="475" t="s">
        <v>468</v>
      </c>
      <c r="G674" s="476">
        <v>78</v>
      </c>
      <c r="H674" s="475" t="s">
        <v>664</v>
      </c>
      <c r="I674" s="498" t="s">
        <v>665</v>
      </c>
      <c r="J674" s="503">
        <v>5482.57</v>
      </c>
    </row>
    <row r="675" spans="1:10" ht="20.25" customHeight="1">
      <c r="A675" s="471">
        <v>5151</v>
      </c>
      <c r="B675" s="472" t="s">
        <v>445</v>
      </c>
      <c r="C675" s="473">
        <v>214</v>
      </c>
      <c r="D675" s="471">
        <v>1843</v>
      </c>
      <c r="E675" s="472">
        <v>40691</v>
      </c>
      <c r="F675" s="475" t="s">
        <v>468</v>
      </c>
      <c r="G675" s="476">
        <v>79</v>
      </c>
      <c r="H675" s="475" t="s">
        <v>666</v>
      </c>
      <c r="I675" s="498" t="s">
        <v>667</v>
      </c>
      <c r="J675" s="499">
        <f t="shared" ref="J675:J682" si="20">10270*1.16</f>
        <v>11913.199999999999</v>
      </c>
    </row>
    <row r="676" spans="1:10" ht="20.25" customHeight="1">
      <c r="A676" s="471">
        <v>5151</v>
      </c>
      <c r="B676" s="472" t="s">
        <v>445</v>
      </c>
      <c r="C676" s="473">
        <v>215</v>
      </c>
      <c r="D676" s="471">
        <v>1843</v>
      </c>
      <c r="E676" s="472">
        <v>40691</v>
      </c>
      <c r="F676" s="475" t="s">
        <v>468</v>
      </c>
      <c r="G676" s="476">
        <v>79</v>
      </c>
      <c r="H676" s="475" t="s">
        <v>666</v>
      </c>
      <c r="I676" s="498" t="s">
        <v>667</v>
      </c>
      <c r="J676" s="499">
        <f t="shared" si="20"/>
        <v>11913.199999999999</v>
      </c>
    </row>
    <row r="677" spans="1:10" ht="20.25" customHeight="1">
      <c r="A677" s="471">
        <v>5151</v>
      </c>
      <c r="B677" s="472" t="s">
        <v>445</v>
      </c>
      <c r="C677" s="480">
        <v>216</v>
      </c>
      <c r="D677" s="471">
        <v>1843</v>
      </c>
      <c r="E677" s="472">
        <v>40691</v>
      </c>
      <c r="F677" s="475" t="s">
        <v>468</v>
      </c>
      <c r="G677" s="476">
        <v>79</v>
      </c>
      <c r="H677" s="475" t="s">
        <v>666</v>
      </c>
      <c r="I677" s="498" t="s">
        <v>667</v>
      </c>
      <c r="J677" s="499">
        <f t="shared" si="20"/>
        <v>11913.199999999999</v>
      </c>
    </row>
    <row r="678" spans="1:10" ht="20.25" customHeight="1">
      <c r="A678" s="471">
        <v>5151</v>
      </c>
      <c r="B678" s="472" t="s">
        <v>445</v>
      </c>
      <c r="C678" s="473">
        <v>217</v>
      </c>
      <c r="D678" s="471">
        <v>1843</v>
      </c>
      <c r="E678" s="472">
        <v>40691</v>
      </c>
      <c r="F678" s="475" t="s">
        <v>468</v>
      </c>
      <c r="G678" s="476">
        <v>79</v>
      </c>
      <c r="H678" s="475" t="s">
        <v>666</v>
      </c>
      <c r="I678" s="498" t="s">
        <v>667</v>
      </c>
      <c r="J678" s="499">
        <f t="shared" si="20"/>
        <v>11913.199999999999</v>
      </c>
    </row>
    <row r="679" spans="1:10" ht="20.25" customHeight="1">
      <c r="A679" s="471">
        <v>5151</v>
      </c>
      <c r="B679" s="472" t="s">
        <v>445</v>
      </c>
      <c r="C679" s="473">
        <v>218</v>
      </c>
      <c r="D679" s="471">
        <v>1843</v>
      </c>
      <c r="E679" s="472">
        <v>40691</v>
      </c>
      <c r="F679" s="475" t="s">
        <v>468</v>
      </c>
      <c r="G679" s="476">
        <v>79</v>
      </c>
      <c r="H679" s="475" t="s">
        <v>666</v>
      </c>
      <c r="I679" s="498" t="s">
        <v>667</v>
      </c>
      <c r="J679" s="499">
        <f t="shared" si="20"/>
        <v>11913.199999999999</v>
      </c>
    </row>
    <row r="680" spans="1:10" ht="20.25" customHeight="1">
      <c r="A680" s="471">
        <v>5151</v>
      </c>
      <c r="B680" s="472" t="s">
        <v>445</v>
      </c>
      <c r="C680" s="480">
        <v>219</v>
      </c>
      <c r="D680" s="471">
        <v>1843</v>
      </c>
      <c r="E680" s="472">
        <v>40691</v>
      </c>
      <c r="F680" s="475" t="s">
        <v>468</v>
      </c>
      <c r="G680" s="476">
        <v>79</v>
      </c>
      <c r="H680" s="475" t="s">
        <v>666</v>
      </c>
      <c r="I680" s="498" t="s">
        <v>667</v>
      </c>
      <c r="J680" s="499">
        <f t="shared" si="20"/>
        <v>11913.199999999999</v>
      </c>
    </row>
    <row r="681" spans="1:10" ht="20.25" customHeight="1">
      <c r="A681" s="471">
        <v>5151</v>
      </c>
      <c r="B681" s="472" t="s">
        <v>445</v>
      </c>
      <c r="C681" s="473">
        <v>220</v>
      </c>
      <c r="D681" s="471">
        <v>1843</v>
      </c>
      <c r="E681" s="472">
        <v>40691</v>
      </c>
      <c r="F681" s="475" t="s">
        <v>468</v>
      </c>
      <c r="G681" s="476">
        <v>79</v>
      </c>
      <c r="H681" s="475" t="s">
        <v>666</v>
      </c>
      <c r="I681" s="498" t="s">
        <v>667</v>
      </c>
      <c r="J681" s="499">
        <f t="shared" si="20"/>
        <v>11913.199999999999</v>
      </c>
    </row>
    <row r="682" spans="1:10" ht="20.25" customHeight="1">
      <c r="A682" s="471">
        <v>5151</v>
      </c>
      <c r="B682" s="472" t="s">
        <v>445</v>
      </c>
      <c r="C682" s="473">
        <v>221</v>
      </c>
      <c r="D682" s="471">
        <v>1843</v>
      </c>
      <c r="E682" s="472">
        <v>40691</v>
      </c>
      <c r="F682" s="475" t="s">
        <v>468</v>
      </c>
      <c r="G682" s="476">
        <v>79</v>
      </c>
      <c r="H682" s="475" t="s">
        <v>666</v>
      </c>
      <c r="I682" s="498" t="s">
        <v>667</v>
      </c>
      <c r="J682" s="499">
        <f t="shared" si="20"/>
        <v>11913.199999999999</v>
      </c>
    </row>
    <row r="683" spans="1:10" ht="20.25" customHeight="1">
      <c r="A683" s="471">
        <v>5151</v>
      </c>
      <c r="B683" s="472" t="s">
        <v>445</v>
      </c>
      <c r="C683" s="480">
        <v>222</v>
      </c>
      <c r="D683" s="471">
        <v>1843</v>
      </c>
      <c r="E683" s="472">
        <v>40691</v>
      </c>
      <c r="F683" s="475" t="s">
        <v>468</v>
      </c>
      <c r="G683" s="476">
        <v>80</v>
      </c>
      <c r="H683" s="475" t="s">
        <v>668</v>
      </c>
      <c r="I683" s="498" t="s">
        <v>669</v>
      </c>
      <c r="J683" s="499">
        <f>10640*1.16</f>
        <v>12342.4</v>
      </c>
    </row>
    <row r="684" spans="1:10" ht="20.25" customHeight="1">
      <c r="A684" s="471">
        <v>5151</v>
      </c>
      <c r="B684" s="472" t="s">
        <v>445</v>
      </c>
      <c r="C684" s="473">
        <v>223</v>
      </c>
      <c r="D684" s="471">
        <v>1843</v>
      </c>
      <c r="E684" s="472">
        <v>40691</v>
      </c>
      <c r="F684" s="475" t="s">
        <v>468</v>
      </c>
      <c r="G684" s="476">
        <v>81</v>
      </c>
      <c r="H684" s="475" t="s">
        <v>670</v>
      </c>
      <c r="I684" s="498" t="s">
        <v>671</v>
      </c>
      <c r="J684" s="499">
        <f>8472*1.16</f>
        <v>9827.5199999999986</v>
      </c>
    </row>
    <row r="685" spans="1:10" ht="20.25" customHeight="1">
      <c r="A685" s="471">
        <v>5151</v>
      </c>
      <c r="B685" s="472" t="s">
        <v>445</v>
      </c>
      <c r="C685" s="473">
        <v>224</v>
      </c>
      <c r="D685" s="471">
        <v>168</v>
      </c>
      <c r="E685" s="472">
        <v>40759</v>
      </c>
      <c r="F685" s="475" t="s">
        <v>468</v>
      </c>
      <c r="G685" s="476">
        <v>82</v>
      </c>
      <c r="H685" s="475" t="s">
        <v>672</v>
      </c>
      <c r="I685" s="498" t="s">
        <v>673</v>
      </c>
      <c r="J685" s="499">
        <f>5607*1.16</f>
        <v>6504.12</v>
      </c>
    </row>
    <row r="686" spans="1:10" ht="20.25" customHeight="1">
      <c r="A686" s="471">
        <v>5151</v>
      </c>
      <c r="B686" s="472" t="s">
        <v>445</v>
      </c>
      <c r="C686" s="480">
        <v>225</v>
      </c>
      <c r="D686" s="471">
        <v>155</v>
      </c>
      <c r="E686" s="472">
        <v>40763</v>
      </c>
      <c r="F686" s="475" t="s">
        <v>468</v>
      </c>
      <c r="G686" s="476">
        <v>83</v>
      </c>
      <c r="H686" s="475" t="s">
        <v>674</v>
      </c>
      <c r="I686" s="498" t="s">
        <v>675</v>
      </c>
      <c r="J686" s="499">
        <f>22844.83*1.16</f>
        <v>26500.002799999998</v>
      </c>
    </row>
    <row r="687" spans="1:10" ht="20.25" customHeight="1">
      <c r="A687" s="471">
        <v>5151</v>
      </c>
      <c r="B687" s="472" t="s">
        <v>445</v>
      </c>
      <c r="C687" s="480" t="s">
        <v>676</v>
      </c>
      <c r="D687" s="471"/>
      <c r="E687" s="472">
        <v>40878</v>
      </c>
      <c r="F687" s="475" t="s">
        <v>468</v>
      </c>
      <c r="G687" s="476">
        <v>178</v>
      </c>
      <c r="H687" s="475" t="s">
        <v>677</v>
      </c>
      <c r="I687" s="498" t="s">
        <v>678</v>
      </c>
      <c r="J687" s="496">
        <v>3979.96</v>
      </c>
    </row>
    <row r="688" spans="1:10" ht="20.25" customHeight="1">
      <c r="A688" s="471">
        <v>5151</v>
      </c>
      <c r="B688" s="472" t="s">
        <v>445</v>
      </c>
      <c r="C688" s="473">
        <v>227</v>
      </c>
      <c r="D688" s="471">
        <v>189</v>
      </c>
      <c r="E688" s="472">
        <v>40882</v>
      </c>
      <c r="F688" s="475" t="s">
        <v>446</v>
      </c>
      <c r="G688" s="476">
        <v>84</v>
      </c>
      <c r="H688" s="475" t="s">
        <v>679</v>
      </c>
      <c r="I688" s="498" t="s">
        <v>680</v>
      </c>
      <c r="J688" s="496">
        <f>1186*1.16</f>
        <v>1375.76</v>
      </c>
    </row>
    <row r="689" spans="1:10" ht="20.25" customHeight="1">
      <c r="A689" s="471">
        <v>5151</v>
      </c>
      <c r="B689" s="472" t="s">
        <v>445</v>
      </c>
      <c r="C689" s="480">
        <v>228</v>
      </c>
      <c r="D689" s="471">
        <v>189</v>
      </c>
      <c r="E689" s="472">
        <v>40882</v>
      </c>
      <c r="F689" s="475" t="s">
        <v>446</v>
      </c>
      <c r="G689" s="476">
        <v>85</v>
      </c>
      <c r="H689" s="475" t="s">
        <v>681</v>
      </c>
      <c r="I689" s="498" t="s">
        <v>682</v>
      </c>
      <c r="J689" s="496">
        <f>1280*1.16</f>
        <v>1484.8</v>
      </c>
    </row>
    <row r="690" spans="1:10" ht="20.25" customHeight="1">
      <c r="A690" s="471">
        <v>5151</v>
      </c>
      <c r="B690" s="472" t="s">
        <v>445</v>
      </c>
      <c r="C690" s="473">
        <v>229</v>
      </c>
      <c r="D690" s="471">
        <v>189</v>
      </c>
      <c r="E690" s="472">
        <v>40882</v>
      </c>
      <c r="F690" s="475" t="s">
        <v>446</v>
      </c>
      <c r="G690" s="476">
        <v>85</v>
      </c>
      <c r="H690" s="475" t="s">
        <v>681</v>
      </c>
      <c r="I690" s="498" t="s">
        <v>682</v>
      </c>
      <c r="J690" s="496">
        <f>1280*1.16</f>
        <v>1484.8</v>
      </c>
    </row>
    <row r="691" spans="1:10" ht="20.25" customHeight="1">
      <c r="A691" s="471">
        <v>5151</v>
      </c>
      <c r="B691" s="472" t="s">
        <v>445</v>
      </c>
      <c r="C691" s="473">
        <v>226</v>
      </c>
      <c r="D691" s="471">
        <v>189</v>
      </c>
      <c r="E691" s="472">
        <v>40882</v>
      </c>
      <c r="F691" s="475" t="s">
        <v>446</v>
      </c>
      <c r="G691" s="476">
        <v>86</v>
      </c>
      <c r="H691" s="475" t="s">
        <v>683</v>
      </c>
      <c r="I691" s="498" t="s">
        <v>684</v>
      </c>
      <c r="J691" s="496">
        <f>750*1.16</f>
        <v>869.99999999999989</v>
      </c>
    </row>
    <row r="692" spans="1:10" ht="20.25" customHeight="1">
      <c r="A692" s="471">
        <v>5151</v>
      </c>
      <c r="B692" s="472" t="s">
        <v>445</v>
      </c>
      <c r="C692" s="473">
        <v>230</v>
      </c>
      <c r="D692" s="471">
        <v>472</v>
      </c>
      <c r="E692" s="472">
        <v>40882</v>
      </c>
      <c r="F692" s="475" t="s">
        <v>468</v>
      </c>
      <c r="G692" s="476">
        <v>88</v>
      </c>
      <c r="H692" s="475" t="s">
        <v>685</v>
      </c>
      <c r="I692" s="498" t="s">
        <v>686</v>
      </c>
      <c r="J692" s="496">
        <v>2415.6999999999998</v>
      </c>
    </row>
    <row r="693" spans="1:10" ht="20.25" customHeight="1">
      <c r="A693" s="471">
        <v>5151</v>
      </c>
      <c r="B693" s="472" t="s">
        <v>445</v>
      </c>
      <c r="C693" s="480">
        <v>231</v>
      </c>
      <c r="D693" s="471">
        <v>472</v>
      </c>
      <c r="E693" s="472">
        <v>40882</v>
      </c>
      <c r="F693" s="475" t="s">
        <v>468</v>
      </c>
      <c r="G693" s="476">
        <v>88</v>
      </c>
      <c r="H693" s="475" t="s">
        <v>685</v>
      </c>
      <c r="I693" s="498" t="s">
        <v>686</v>
      </c>
      <c r="J693" s="496">
        <v>2415.6999999999998</v>
      </c>
    </row>
    <row r="694" spans="1:10" ht="20.25" customHeight="1">
      <c r="A694" s="471">
        <v>5151</v>
      </c>
      <c r="B694" s="472" t="s">
        <v>445</v>
      </c>
      <c r="C694" s="473">
        <v>232</v>
      </c>
      <c r="D694" s="471">
        <v>472</v>
      </c>
      <c r="E694" s="472">
        <v>40882</v>
      </c>
      <c r="F694" s="475" t="s">
        <v>468</v>
      </c>
      <c r="G694" s="476">
        <v>88</v>
      </c>
      <c r="H694" s="475" t="s">
        <v>685</v>
      </c>
      <c r="I694" s="498" t="s">
        <v>686</v>
      </c>
      <c r="J694" s="496">
        <v>2415.6999999999998</v>
      </c>
    </row>
    <row r="695" spans="1:10" ht="20.25" customHeight="1">
      <c r="A695" s="471">
        <v>5151</v>
      </c>
      <c r="B695" s="472" t="s">
        <v>445</v>
      </c>
      <c r="C695" s="473" t="s">
        <v>687</v>
      </c>
      <c r="D695" s="471">
        <v>472</v>
      </c>
      <c r="E695" s="472">
        <v>40882</v>
      </c>
      <c r="F695" s="475" t="s">
        <v>468</v>
      </c>
      <c r="G695" s="476">
        <v>88</v>
      </c>
      <c r="H695" s="475" t="s">
        <v>685</v>
      </c>
      <c r="I695" s="498" t="s">
        <v>686</v>
      </c>
      <c r="J695" s="496">
        <v>0</v>
      </c>
    </row>
    <row r="696" spans="1:10" ht="20.25" customHeight="1">
      <c r="A696" s="471">
        <v>5151</v>
      </c>
      <c r="B696" s="472" t="s">
        <v>445</v>
      </c>
      <c r="C696" s="473">
        <v>233</v>
      </c>
      <c r="D696" s="471">
        <v>472</v>
      </c>
      <c r="E696" s="472">
        <v>40882</v>
      </c>
      <c r="F696" s="475" t="s">
        <v>468</v>
      </c>
      <c r="G696" s="476">
        <v>88</v>
      </c>
      <c r="H696" s="475" t="s">
        <v>685</v>
      </c>
      <c r="I696" s="498" t="s">
        <v>686</v>
      </c>
      <c r="J696" s="496">
        <v>2415.6999999999998</v>
      </c>
    </row>
    <row r="697" spans="1:10" ht="20.25" customHeight="1">
      <c r="A697" s="471">
        <v>5151</v>
      </c>
      <c r="B697" s="472" t="s">
        <v>445</v>
      </c>
      <c r="C697" s="480">
        <v>234</v>
      </c>
      <c r="D697" s="471">
        <v>473</v>
      </c>
      <c r="E697" s="472">
        <v>40889</v>
      </c>
      <c r="F697" s="475" t="s">
        <v>468</v>
      </c>
      <c r="G697" s="476">
        <v>89</v>
      </c>
      <c r="H697" s="475" t="s">
        <v>688</v>
      </c>
      <c r="I697" s="498" t="s">
        <v>689</v>
      </c>
      <c r="J697" s="496">
        <v>40000</v>
      </c>
    </row>
    <row r="698" spans="1:10" ht="20.25" customHeight="1">
      <c r="A698" s="471">
        <v>5151</v>
      </c>
      <c r="B698" s="472" t="s">
        <v>445</v>
      </c>
      <c r="C698" s="473">
        <v>235</v>
      </c>
      <c r="D698" s="471">
        <v>473</v>
      </c>
      <c r="E698" s="472">
        <v>40889</v>
      </c>
      <c r="F698" s="475" t="s">
        <v>468</v>
      </c>
      <c r="G698" s="476">
        <v>89</v>
      </c>
      <c r="H698" s="475" t="s">
        <v>688</v>
      </c>
      <c r="I698" s="498" t="s">
        <v>689</v>
      </c>
      <c r="J698" s="496">
        <v>40000</v>
      </c>
    </row>
    <row r="699" spans="1:10" ht="20.25" customHeight="1">
      <c r="A699" s="471">
        <v>5151</v>
      </c>
      <c r="B699" s="472" t="s">
        <v>445</v>
      </c>
      <c r="C699" s="473">
        <v>236</v>
      </c>
      <c r="D699" s="471">
        <v>479</v>
      </c>
      <c r="E699" s="474">
        <v>40926</v>
      </c>
      <c r="F699" s="475" t="s">
        <v>468</v>
      </c>
      <c r="G699" s="476">
        <v>190</v>
      </c>
      <c r="H699" s="475" t="s">
        <v>690</v>
      </c>
      <c r="I699" s="478" t="s">
        <v>691</v>
      </c>
      <c r="J699" s="496">
        <v>39650</v>
      </c>
    </row>
    <row r="700" spans="1:10" ht="20.25" customHeight="1">
      <c r="A700" s="471">
        <v>5151</v>
      </c>
      <c r="B700" s="472" t="s">
        <v>445</v>
      </c>
      <c r="C700" s="480">
        <v>237</v>
      </c>
      <c r="D700" s="471">
        <v>2</v>
      </c>
      <c r="E700" s="474">
        <v>41025</v>
      </c>
      <c r="F700" s="475" t="s">
        <v>468</v>
      </c>
      <c r="G700" s="476">
        <v>106</v>
      </c>
      <c r="H700" s="475" t="s">
        <v>692</v>
      </c>
      <c r="I700" s="478" t="s">
        <v>693</v>
      </c>
      <c r="J700" s="496">
        <v>10600</v>
      </c>
    </row>
    <row r="701" spans="1:10" ht="20.25" customHeight="1">
      <c r="A701" s="471">
        <v>5151</v>
      </c>
      <c r="B701" s="472" t="s">
        <v>445</v>
      </c>
      <c r="C701" s="473">
        <v>238</v>
      </c>
      <c r="D701" s="471">
        <v>2</v>
      </c>
      <c r="E701" s="474">
        <v>41025</v>
      </c>
      <c r="F701" s="475" t="s">
        <v>468</v>
      </c>
      <c r="G701" s="476">
        <v>106</v>
      </c>
      <c r="H701" s="475" t="s">
        <v>692</v>
      </c>
      <c r="I701" s="478" t="s">
        <v>693</v>
      </c>
      <c r="J701" s="496">
        <v>10600</v>
      </c>
    </row>
    <row r="702" spans="1:10" ht="20.25" customHeight="1">
      <c r="A702" s="471">
        <v>5151</v>
      </c>
      <c r="B702" s="472" t="s">
        <v>445</v>
      </c>
      <c r="C702" s="473">
        <v>239</v>
      </c>
      <c r="D702" s="471">
        <v>2</v>
      </c>
      <c r="E702" s="474">
        <v>41025</v>
      </c>
      <c r="F702" s="475" t="s">
        <v>468</v>
      </c>
      <c r="G702" s="476">
        <v>106</v>
      </c>
      <c r="H702" s="475" t="s">
        <v>692</v>
      </c>
      <c r="I702" s="478" t="s">
        <v>693</v>
      </c>
      <c r="J702" s="496">
        <v>10600</v>
      </c>
    </row>
    <row r="703" spans="1:10" ht="20.25" customHeight="1">
      <c r="A703" s="471">
        <v>5151</v>
      </c>
      <c r="B703" s="472" t="s">
        <v>445</v>
      </c>
      <c r="C703" s="480">
        <v>240</v>
      </c>
      <c r="D703" s="471">
        <v>2</v>
      </c>
      <c r="E703" s="474">
        <v>41025</v>
      </c>
      <c r="F703" s="475" t="s">
        <v>468</v>
      </c>
      <c r="G703" s="476">
        <v>106</v>
      </c>
      <c r="H703" s="475" t="s">
        <v>692</v>
      </c>
      <c r="I703" s="478" t="s">
        <v>693</v>
      </c>
      <c r="J703" s="496">
        <v>10600</v>
      </c>
    </row>
    <row r="704" spans="1:10" ht="20.25" customHeight="1">
      <c r="A704" s="471">
        <v>5151</v>
      </c>
      <c r="B704" s="472" t="s">
        <v>445</v>
      </c>
      <c r="C704" s="473">
        <v>241</v>
      </c>
      <c r="D704" s="471">
        <v>2</v>
      </c>
      <c r="E704" s="474">
        <v>41025</v>
      </c>
      <c r="F704" s="475" t="s">
        <v>468</v>
      </c>
      <c r="G704" s="476">
        <v>106</v>
      </c>
      <c r="H704" s="475" t="s">
        <v>692</v>
      </c>
      <c r="I704" s="478" t="s">
        <v>693</v>
      </c>
      <c r="J704" s="496">
        <v>10600</v>
      </c>
    </row>
    <row r="705" spans="1:10" ht="20.25" customHeight="1">
      <c r="A705" s="471">
        <v>5151</v>
      </c>
      <c r="B705" s="472" t="s">
        <v>445</v>
      </c>
      <c r="C705" s="473">
        <v>242</v>
      </c>
      <c r="D705" s="471">
        <v>259</v>
      </c>
      <c r="E705" s="474">
        <v>41053</v>
      </c>
      <c r="F705" s="475" t="s">
        <v>468</v>
      </c>
      <c r="G705" s="476">
        <v>90</v>
      </c>
      <c r="H705" s="475" t="s">
        <v>694</v>
      </c>
      <c r="I705" s="478" t="s">
        <v>675</v>
      </c>
      <c r="J705" s="496">
        <v>26500</v>
      </c>
    </row>
    <row r="706" spans="1:10" ht="20.25" customHeight="1">
      <c r="A706" s="471">
        <v>5151</v>
      </c>
      <c r="B706" s="472" t="s">
        <v>445</v>
      </c>
      <c r="C706" s="480">
        <v>243</v>
      </c>
      <c r="D706" s="471">
        <v>9</v>
      </c>
      <c r="E706" s="474">
        <v>41260</v>
      </c>
      <c r="F706" s="475" t="s">
        <v>468</v>
      </c>
      <c r="G706" s="476">
        <v>90</v>
      </c>
      <c r="H706" s="475" t="s">
        <v>694</v>
      </c>
      <c r="I706" s="478" t="s">
        <v>695</v>
      </c>
      <c r="J706" s="496">
        <f>3362.07*1.16</f>
        <v>3900.0011999999997</v>
      </c>
    </row>
    <row r="707" spans="1:10" ht="20.25" customHeight="1">
      <c r="A707" s="471">
        <v>5151</v>
      </c>
      <c r="B707" s="472" t="s">
        <v>445</v>
      </c>
      <c r="C707" s="473">
        <v>244</v>
      </c>
      <c r="D707" s="471">
        <v>9</v>
      </c>
      <c r="E707" s="474">
        <v>41260</v>
      </c>
      <c r="F707" s="475" t="s">
        <v>468</v>
      </c>
      <c r="G707" s="476">
        <v>106</v>
      </c>
      <c r="H707" s="475" t="s">
        <v>692</v>
      </c>
      <c r="I707" s="478" t="s">
        <v>696</v>
      </c>
      <c r="J707" s="496">
        <v>9650</v>
      </c>
    </row>
    <row r="708" spans="1:10" ht="20.25" customHeight="1">
      <c r="A708" s="471">
        <v>5151</v>
      </c>
      <c r="B708" s="472" t="s">
        <v>445</v>
      </c>
      <c r="C708" s="473">
        <v>245</v>
      </c>
      <c r="D708" s="471">
        <v>9</v>
      </c>
      <c r="E708" s="474">
        <v>41260</v>
      </c>
      <c r="F708" s="475" t="s">
        <v>468</v>
      </c>
      <c r="G708" s="476">
        <v>106</v>
      </c>
      <c r="H708" s="475" t="s">
        <v>692</v>
      </c>
      <c r="I708" s="478" t="s">
        <v>696</v>
      </c>
      <c r="J708" s="496">
        <v>9650</v>
      </c>
    </row>
    <row r="709" spans="1:10" ht="20.25" customHeight="1">
      <c r="A709" s="471">
        <v>5151</v>
      </c>
      <c r="B709" s="472" t="s">
        <v>445</v>
      </c>
      <c r="C709" s="480">
        <v>246</v>
      </c>
      <c r="D709" s="478">
        <v>3961</v>
      </c>
      <c r="E709" s="474">
        <v>41873</v>
      </c>
      <c r="F709" s="475" t="s">
        <v>468</v>
      </c>
      <c r="G709" s="476">
        <v>90</v>
      </c>
      <c r="H709" s="475" t="s">
        <v>694</v>
      </c>
      <c r="I709" s="478" t="s">
        <v>697</v>
      </c>
      <c r="J709" s="503">
        <v>5809.28</v>
      </c>
    </row>
    <row r="710" spans="1:10" ht="20.25" customHeight="1">
      <c r="A710" s="471">
        <v>5151</v>
      </c>
      <c r="B710" s="472" t="s">
        <v>445</v>
      </c>
      <c r="C710" s="473">
        <v>247</v>
      </c>
      <c r="D710" s="478">
        <v>3961</v>
      </c>
      <c r="E710" s="474">
        <v>41873</v>
      </c>
      <c r="F710" s="475" t="s">
        <v>468</v>
      </c>
      <c r="G710" s="476">
        <v>90</v>
      </c>
      <c r="H710" s="475" t="s">
        <v>694</v>
      </c>
      <c r="I710" s="478" t="s">
        <v>697</v>
      </c>
      <c r="J710" s="503">
        <v>5809.28</v>
      </c>
    </row>
    <row r="711" spans="1:10" ht="20.25" customHeight="1">
      <c r="A711" s="471">
        <v>5151</v>
      </c>
      <c r="B711" s="472" t="s">
        <v>445</v>
      </c>
      <c r="C711" s="473">
        <v>248</v>
      </c>
      <c r="D711" s="478">
        <v>3961</v>
      </c>
      <c r="E711" s="474">
        <v>41873</v>
      </c>
      <c r="F711" s="475" t="s">
        <v>468</v>
      </c>
      <c r="G711" s="476">
        <v>90</v>
      </c>
      <c r="H711" s="475" t="s">
        <v>694</v>
      </c>
      <c r="I711" s="478" t="s">
        <v>697</v>
      </c>
      <c r="J711" s="503">
        <v>5809.28</v>
      </c>
    </row>
    <row r="712" spans="1:10" ht="20.25" customHeight="1">
      <c r="A712" s="471">
        <v>5151</v>
      </c>
      <c r="B712" s="472" t="s">
        <v>445</v>
      </c>
      <c r="C712" s="480">
        <v>249</v>
      </c>
      <c r="D712" s="478">
        <v>3961</v>
      </c>
      <c r="E712" s="474">
        <v>41873</v>
      </c>
      <c r="F712" s="475" t="s">
        <v>468</v>
      </c>
      <c r="G712" s="476">
        <v>90</v>
      </c>
      <c r="H712" s="475" t="s">
        <v>694</v>
      </c>
      <c r="I712" s="478" t="s">
        <v>697</v>
      </c>
      <c r="J712" s="503">
        <v>5809.28</v>
      </c>
    </row>
    <row r="713" spans="1:10" ht="20.25" customHeight="1">
      <c r="A713" s="471">
        <v>5151</v>
      </c>
      <c r="B713" s="472" t="s">
        <v>445</v>
      </c>
      <c r="C713" s="473">
        <v>250</v>
      </c>
      <c r="D713" s="478">
        <v>3961</v>
      </c>
      <c r="E713" s="474">
        <v>41873</v>
      </c>
      <c r="F713" s="475" t="s">
        <v>468</v>
      </c>
      <c r="G713" s="476">
        <v>90</v>
      </c>
      <c r="H713" s="475" t="s">
        <v>694</v>
      </c>
      <c r="I713" s="478" t="s">
        <v>697</v>
      </c>
      <c r="J713" s="503">
        <v>5809.28</v>
      </c>
    </row>
    <row r="714" spans="1:10" ht="20.25" customHeight="1">
      <c r="A714" s="471">
        <v>5151</v>
      </c>
      <c r="B714" s="472" t="s">
        <v>445</v>
      </c>
      <c r="C714" s="473">
        <v>251</v>
      </c>
      <c r="D714" s="478">
        <v>3961</v>
      </c>
      <c r="E714" s="474">
        <v>41873</v>
      </c>
      <c r="F714" s="475" t="s">
        <v>468</v>
      </c>
      <c r="G714" s="476">
        <v>90</v>
      </c>
      <c r="H714" s="475" t="s">
        <v>694</v>
      </c>
      <c r="I714" s="478" t="s">
        <v>697</v>
      </c>
      <c r="J714" s="503">
        <v>5809.28</v>
      </c>
    </row>
    <row r="715" spans="1:10" ht="20.25" customHeight="1">
      <c r="A715" s="471">
        <v>5151</v>
      </c>
      <c r="B715" s="472" t="s">
        <v>445</v>
      </c>
      <c r="C715" s="480">
        <v>252</v>
      </c>
      <c r="D715" s="478">
        <v>3961</v>
      </c>
      <c r="E715" s="474">
        <v>41873</v>
      </c>
      <c r="F715" s="475" t="s">
        <v>468</v>
      </c>
      <c r="G715" s="476">
        <v>90</v>
      </c>
      <c r="H715" s="475" t="s">
        <v>694</v>
      </c>
      <c r="I715" s="478" t="s">
        <v>698</v>
      </c>
      <c r="J715" s="503">
        <v>28220.48</v>
      </c>
    </row>
    <row r="716" spans="1:10" ht="20.25" customHeight="1">
      <c r="A716" s="471">
        <v>5151</v>
      </c>
      <c r="B716" s="472" t="s">
        <v>445</v>
      </c>
      <c r="C716" s="473">
        <v>253</v>
      </c>
      <c r="D716" s="478">
        <v>3961</v>
      </c>
      <c r="E716" s="474">
        <v>41873</v>
      </c>
      <c r="F716" s="475" t="s">
        <v>468</v>
      </c>
      <c r="G716" s="476">
        <v>90</v>
      </c>
      <c r="H716" s="475" t="s">
        <v>694</v>
      </c>
      <c r="I716" s="478" t="s">
        <v>699</v>
      </c>
      <c r="J716" s="503">
        <v>3093.72</v>
      </c>
    </row>
    <row r="717" spans="1:10" ht="20.25" customHeight="1">
      <c r="A717" s="471">
        <v>5151</v>
      </c>
      <c r="B717" s="472" t="s">
        <v>445</v>
      </c>
      <c r="C717" s="473">
        <v>254</v>
      </c>
      <c r="D717" s="478">
        <v>3961</v>
      </c>
      <c r="E717" s="474">
        <v>41873</v>
      </c>
      <c r="F717" s="475" t="s">
        <v>468</v>
      </c>
      <c r="G717" s="476">
        <v>90</v>
      </c>
      <c r="H717" s="475" t="s">
        <v>694</v>
      </c>
      <c r="I717" s="478" t="s">
        <v>699</v>
      </c>
      <c r="J717" s="503">
        <v>3093.72</v>
      </c>
    </row>
    <row r="718" spans="1:10" ht="20.25" customHeight="1">
      <c r="A718" s="471">
        <v>5151</v>
      </c>
      <c r="B718" s="472" t="s">
        <v>445</v>
      </c>
      <c r="C718" s="480">
        <v>255</v>
      </c>
      <c r="D718" s="478">
        <v>3961</v>
      </c>
      <c r="E718" s="474">
        <v>41873</v>
      </c>
      <c r="F718" s="475" t="s">
        <v>468</v>
      </c>
      <c r="G718" s="476">
        <v>90</v>
      </c>
      <c r="H718" s="475" t="s">
        <v>694</v>
      </c>
      <c r="I718" s="478" t="s">
        <v>699</v>
      </c>
      <c r="J718" s="503">
        <v>3093.72</v>
      </c>
    </row>
    <row r="719" spans="1:10" ht="20.25" customHeight="1">
      <c r="A719" s="471">
        <v>5151</v>
      </c>
      <c r="B719" s="472" t="s">
        <v>445</v>
      </c>
      <c r="C719" s="473">
        <v>256</v>
      </c>
      <c r="D719" s="478">
        <v>3961</v>
      </c>
      <c r="E719" s="474">
        <v>41873</v>
      </c>
      <c r="F719" s="475" t="s">
        <v>468</v>
      </c>
      <c r="G719" s="476">
        <v>90</v>
      </c>
      <c r="H719" s="475" t="s">
        <v>694</v>
      </c>
      <c r="I719" s="478" t="s">
        <v>700</v>
      </c>
      <c r="J719" s="503">
        <v>9291.6</v>
      </c>
    </row>
    <row r="720" spans="1:10" ht="20.25" customHeight="1">
      <c r="A720" s="471">
        <v>5151</v>
      </c>
      <c r="B720" s="472" t="s">
        <v>445</v>
      </c>
      <c r="C720" s="473">
        <v>257</v>
      </c>
      <c r="D720" s="478">
        <v>3961</v>
      </c>
      <c r="E720" s="474">
        <v>41873</v>
      </c>
      <c r="F720" s="475" t="s">
        <v>468</v>
      </c>
      <c r="G720" s="476">
        <v>90</v>
      </c>
      <c r="H720" s="475" t="s">
        <v>694</v>
      </c>
      <c r="I720" s="478" t="s">
        <v>700</v>
      </c>
      <c r="J720" s="503">
        <v>9291.6</v>
      </c>
    </row>
    <row r="721" spans="1:10" ht="20.25" customHeight="1">
      <c r="A721" s="471">
        <v>5151</v>
      </c>
      <c r="B721" s="472" t="s">
        <v>445</v>
      </c>
      <c r="C721" s="480">
        <v>258</v>
      </c>
      <c r="D721" s="478">
        <v>3961</v>
      </c>
      <c r="E721" s="474">
        <v>41873</v>
      </c>
      <c r="F721" s="475" t="s">
        <v>468</v>
      </c>
      <c r="G721" s="476">
        <v>90</v>
      </c>
      <c r="H721" s="475" t="s">
        <v>694</v>
      </c>
      <c r="I721" s="478" t="s">
        <v>700</v>
      </c>
      <c r="J721" s="503">
        <v>9291.6</v>
      </c>
    </row>
    <row r="722" spans="1:10" ht="20.25" customHeight="1">
      <c r="A722" s="471">
        <v>5151</v>
      </c>
      <c r="B722" s="472" t="s">
        <v>445</v>
      </c>
      <c r="C722" s="473">
        <v>259</v>
      </c>
      <c r="D722" s="478">
        <v>3961</v>
      </c>
      <c r="E722" s="474">
        <v>41873</v>
      </c>
      <c r="F722" s="475" t="s">
        <v>468</v>
      </c>
      <c r="G722" s="476">
        <v>90</v>
      </c>
      <c r="H722" s="475" t="s">
        <v>694</v>
      </c>
      <c r="I722" s="478" t="s">
        <v>700</v>
      </c>
      <c r="J722" s="503">
        <v>9291.6</v>
      </c>
    </row>
    <row r="723" spans="1:10" ht="20.25" customHeight="1">
      <c r="A723" s="471">
        <v>5151</v>
      </c>
      <c r="B723" s="472" t="s">
        <v>445</v>
      </c>
      <c r="C723" s="473">
        <v>260</v>
      </c>
      <c r="D723" s="478">
        <v>3961</v>
      </c>
      <c r="E723" s="474">
        <v>41873</v>
      </c>
      <c r="F723" s="475" t="s">
        <v>468</v>
      </c>
      <c r="G723" s="476">
        <v>90</v>
      </c>
      <c r="H723" s="475" t="s">
        <v>694</v>
      </c>
      <c r="I723" s="478" t="s">
        <v>701</v>
      </c>
      <c r="J723" s="503">
        <v>2692.36</v>
      </c>
    </row>
    <row r="724" spans="1:10" ht="20.25" customHeight="1">
      <c r="A724" s="471">
        <v>5151</v>
      </c>
      <c r="B724" s="472" t="s">
        <v>445</v>
      </c>
      <c r="C724" s="480">
        <v>261</v>
      </c>
      <c r="D724" s="478">
        <v>3961</v>
      </c>
      <c r="E724" s="474">
        <v>41873</v>
      </c>
      <c r="F724" s="475" t="s">
        <v>468</v>
      </c>
      <c r="G724" s="476">
        <v>90</v>
      </c>
      <c r="H724" s="475" t="s">
        <v>694</v>
      </c>
      <c r="I724" s="478" t="s">
        <v>701</v>
      </c>
      <c r="J724" s="503">
        <v>2692.36</v>
      </c>
    </row>
    <row r="725" spans="1:10" ht="20.25" customHeight="1">
      <c r="A725" s="471">
        <v>5151</v>
      </c>
      <c r="B725" s="472" t="s">
        <v>445</v>
      </c>
      <c r="C725" s="473">
        <v>262</v>
      </c>
      <c r="D725" s="478">
        <v>3961</v>
      </c>
      <c r="E725" s="474">
        <v>41873</v>
      </c>
      <c r="F725" s="475" t="s">
        <v>468</v>
      </c>
      <c r="G725" s="476">
        <v>90</v>
      </c>
      <c r="H725" s="475" t="s">
        <v>694</v>
      </c>
      <c r="I725" s="478" t="s">
        <v>701</v>
      </c>
      <c r="J725" s="503">
        <v>2692.36</v>
      </c>
    </row>
    <row r="726" spans="1:10" ht="20.25" customHeight="1">
      <c r="A726" s="471">
        <v>5151</v>
      </c>
      <c r="B726" s="472" t="s">
        <v>445</v>
      </c>
      <c r="C726" s="473">
        <v>263</v>
      </c>
      <c r="D726" s="478">
        <v>3961</v>
      </c>
      <c r="E726" s="474">
        <v>41873</v>
      </c>
      <c r="F726" s="475" t="s">
        <v>468</v>
      </c>
      <c r="G726" s="476">
        <v>90</v>
      </c>
      <c r="H726" s="475" t="s">
        <v>694</v>
      </c>
      <c r="I726" s="478" t="s">
        <v>702</v>
      </c>
      <c r="J726" s="503">
        <v>638</v>
      </c>
    </row>
    <row r="727" spans="1:10" ht="20.25" customHeight="1">
      <c r="A727" s="471">
        <v>5151</v>
      </c>
      <c r="B727" s="472" t="s">
        <v>445</v>
      </c>
      <c r="C727" s="480">
        <v>264</v>
      </c>
      <c r="D727" s="478">
        <v>3961</v>
      </c>
      <c r="E727" s="474">
        <v>41873</v>
      </c>
      <c r="F727" s="475" t="s">
        <v>468</v>
      </c>
      <c r="G727" s="476">
        <v>90</v>
      </c>
      <c r="H727" s="475" t="s">
        <v>694</v>
      </c>
      <c r="I727" s="478" t="s">
        <v>702</v>
      </c>
      <c r="J727" s="503">
        <v>638</v>
      </c>
    </row>
    <row r="728" spans="1:10" ht="20.25" customHeight="1">
      <c r="A728" s="471">
        <v>5151</v>
      </c>
      <c r="B728" s="472" t="s">
        <v>445</v>
      </c>
      <c r="C728" s="473">
        <v>265</v>
      </c>
      <c r="D728" s="478">
        <v>3961</v>
      </c>
      <c r="E728" s="474">
        <v>41873</v>
      </c>
      <c r="F728" s="475" t="s">
        <v>468</v>
      </c>
      <c r="G728" s="476">
        <v>90</v>
      </c>
      <c r="H728" s="475" t="s">
        <v>694</v>
      </c>
      <c r="I728" s="478" t="s">
        <v>702</v>
      </c>
      <c r="J728" s="503">
        <v>638</v>
      </c>
    </row>
    <row r="729" spans="1:10" ht="20.25" customHeight="1">
      <c r="A729" s="471">
        <v>5151</v>
      </c>
      <c r="B729" s="472" t="s">
        <v>445</v>
      </c>
      <c r="C729" s="473">
        <v>266</v>
      </c>
      <c r="D729" s="478">
        <v>3961</v>
      </c>
      <c r="E729" s="474">
        <v>41873</v>
      </c>
      <c r="F729" s="475" t="s">
        <v>468</v>
      </c>
      <c r="G729" s="476">
        <v>90</v>
      </c>
      <c r="H729" s="475" t="s">
        <v>694</v>
      </c>
      <c r="I729" s="478" t="s">
        <v>702</v>
      </c>
      <c r="J729" s="503">
        <v>638</v>
      </c>
    </row>
    <row r="730" spans="1:10" ht="20.25" customHeight="1">
      <c r="A730" s="471">
        <v>5151</v>
      </c>
      <c r="B730" s="472" t="s">
        <v>445</v>
      </c>
      <c r="C730" s="480">
        <v>267</v>
      </c>
      <c r="D730" s="478">
        <v>3961</v>
      </c>
      <c r="E730" s="474">
        <v>41873</v>
      </c>
      <c r="F730" s="475" t="s">
        <v>468</v>
      </c>
      <c r="G730" s="476">
        <v>90</v>
      </c>
      <c r="H730" s="475" t="s">
        <v>694</v>
      </c>
      <c r="I730" s="478" t="s">
        <v>702</v>
      </c>
      <c r="J730" s="503">
        <v>638</v>
      </c>
    </row>
    <row r="731" spans="1:10" ht="20.25" customHeight="1">
      <c r="A731" s="471">
        <v>5151</v>
      </c>
      <c r="B731" s="472" t="s">
        <v>445</v>
      </c>
      <c r="C731" s="473">
        <v>268</v>
      </c>
      <c r="D731" s="478">
        <v>3961</v>
      </c>
      <c r="E731" s="474">
        <v>41873</v>
      </c>
      <c r="F731" s="475" t="s">
        <v>468</v>
      </c>
      <c r="G731" s="476">
        <v>90</v>
      </c>
      <c r="H731" s="475" t="s">
        <v>694</v>
      </c>
      <c r="I731" s="478" t="s">
        <v>703</v>
      </c>
      <c r="J731" s="503">
        <v>1317.76</v>
      </c>
    </row>
    <row r="732" spans="1:10" ht="20.25" customHeight="1">
      <c r="A732" s="471">
        <v>5151</v>
      </c>
      <c r="B732" s="472" t="s">
        <v>445</v>
      </c>
      <c r="C732" s="473">
        <v>269</v>
      </c>
      <c r="D732" s="478">
        <v>3961</v>
      </c>
      <c r="E732" s="474">
        <v>41873</v>
      </c>
      <c r="F732" s="475" t="s">
        <v>468</v>
      </c>
      <c r="G732" s="476">
        <v>90</v>
      </c>
      <c r="H732" s="475" t="s">
        <v>694</v>
      </c>
      <c r="I732" s="478" t="s">
        <v>703</v>
      </c>
      <c r="J732" s="503">
        <v>1317.76</v>
      </c>
    </row>
    <row r="733" spans="1:10" ht="20.25" customHeight="1">
      <c r="A733" s="471">
        <v>5151</v>
      </c>
      <c r="B733" s="472" t="s">
        <v>445</v>
      </c>
      <c r="C733" s="480">
        <v>270</v>
      </c>
      <c r="D733" s="478">
        <v>3961</v>
      </c>
      <c r="E733" s="474">
        <v>41873</v>
      </c>
      <c r="F733" s="475" t="s">
        <v>468</v>
      </c>
      <c r="G733" s="476">
        <v>90</v>
      </c>
      <c r="H733" s="475" t="s">
        <v>694</v>
      </c>
      <c r="I733" s="478" t="s">
        <v>704</v>
      </c>
      <c r="J733" s="503">
        <v>1566</v>
      </c>
    </row>
    <row r="734" spans="1:10" ht="20.25" customHeight="1">
      <c r="A734" s="471">
        <v>5151</v>
      </c>
      <c r="B734" s="472" t="s">
        <v>445</v>
      </c>
      <c r="C734" s="473">
        <v>271</v>
      </c>
      <c r="D734" s="478">
        <v>3961</v>
      </c>
      <c r="E734" s="474">
        <v>41873</v>
      </c>
      <c r="F734" s="475" t="s">
        <v>468</v>
      </c>
      <c r="G734" s="476">
        <v>90</v>
      </c>
      <c r="H734" s="475" t="s">
        <v>694</v>
      </c>
      <c r="I734" s="478" t="s">
        <v>705</v>
      </c>
      <c r="J734" s="503">
        <v>4329.12</v>
      </c>
    </row>
    <row r="735" spans="1:10" ht="20.25" customHeight="1">
      <c r="A735" s="471">
        <v>5151</v>
      </c>
      <c r="B735" s="481" t="s">
        <v>445</v>
      </c>
      <c r="C735" s="473">
        <v>272</v>
      </c>
      <c r="D735" s="482">
        <v>32307</v>
      </c>
      <c r="E735" s="474">
        <v>41878</v>
      </c>
      <c r="F735" s="482" t="s">
        <v>468</v>
      </c>
      <c r="G735" s="476">
        <v>90</v>
      </c>
      <c r="H735" s="475" t="s">
        <v>694</v>
      </c>
      <c r="I735" s="482" t="s">
        <v>706</v>
      </c>
      <c r="J735" s="503">
        <f t="shared" ref="J735:J777" si="21">9948*1.16</f>
        <v>11539.679999999998</v>
      </c>
    </row>
    <row r="736" spans="1:10" ht="20.25" customHeight="1">
      <c r="A736" s="471">
        <v>5151</v>
      </c>
      <c r="B736" s="481" t="s">
        <v>445</v>
      </c>
      <c r="C736" s="480">
        <v>273</v>
      </c>
      <c r="D736" s="482">
        <v>32307</v>
      </c>
      <c r="E736" s="474">
        <v>41878</v>
      </c>
      <c r="F736" s="482" t="s">
        <v>468</v>
      </c>
      <c r="G736" s="476">
        <v>90</v>
      </c>
      <c r="H736" s="475" t="s">
        <v>694</v>
      </c>
      <c r="I736" s="482" t="s">
        <v>706</v>
      </c>
      <c r="J736" s="503">
        <f t="shared" si="21"/>
        <v>11539.679999999998</v>
      </c>
    </row>
    <row r="737" spans="1:10" ht="20.25" customHeight="1">
      <c r="A737" s="471">
        <v>5151</v>
      </c>
      <c r="B737" s="481" t="s">
        <v>445</v>
      </c>
      <c r="C737" s="473">
        <v>274</v>
      </c>
      <c r="D737" s="482">
        <v>32307</v>
      </c>
      <c r="E737" s="474">
        <v>41878</v>
      </c>
      <c r="F737" s="482" t="s">
        <v>468</v>
      </c>
      <c r="G737" s="476">
        <v>90</v>
      </c>
      <c r="H737" s="475" t="s">
        <v>694</v>
      </c>
      <c r="I737" s="482" t="s">
        <v>706</v>
      </c>
      <c r="J737" s="503">
        <f t="shared" si="21"/>
        <v>11539.679999999998</v>
      </c>
    </row>
    <row r="738" spans="1:10" ht="20.25" customHeight="1">
      <c r="A738" s="471">
        <v>5151</v>
      </c>
      <c r="B738" s="481" t="s">
        <v>445</v>
      </c>
      <c r="C738" s="473">
        <v>275</v>
      </c>
      <c r="D738" s="482">
        <v>32307</v>
      </c>
      <c r="E738" s="474">
        <v>41878</v>
      </c>
      <c r="F738" s="482" t="s">
        <v>468</v>
      </c>
      <c r="G738" s="476">
        <v>90</v>
      </c>
      <c r="H738" s="475" t="s">
        <v>694</v>
      </c>
      <c r="I738" s="482" t="s">
        <v>706</v>
      </c>
      <c r="J738" s="503">
        <f t="shared" si="21"/>
        <v>11539.679999999998</v>
      </c>
    </row>
    <row r="739" spans="1:10" ht="20.25" customHeight="1">
      <c r="A739" s="471">
        <v>5151</v>
      </c>
      <c r="B739" s="481" t="s">
        <v>445</v>
      </c>
      <c r="C739" s="480">
        <v>276</v>
      </c>
      <c r="D739" s="482">
        <v>32307</v>
      </c>
      <c r="E739" s="474">
        <v>41878</v>
      </c>
      <c r="F739" s="482" t="s">
        <v>468</v>
      </c>
      <c r="G739" s="476">
        <v>90</v>
      </c>
      <c r="H739" s="475" t="s">
        <v>694</v>
      </c>
      <c r="I739" s="482" t="s">
        <v>706</v>
      </c>
      <c r="J739" s="503">
        <f t="shared" si="21"/>
        <v>11539.679999999998</v>
      </c>
    </row>
    <row r="740" spans="1:10" ht="20.25" customHeight="1">
      <c r="A740" s="471">
        <v>5151</v>
      </c>
      <c r="B740" s="481" t="s">
        <v>445</v>
      </c>
      <c r="C740" s="473">
        <v>277</v>
      </c>
      <c r="D740" s="482">
        <v>32307</v>
      </c>
      <c r="E740" s="474">
        <v>41878</v>
      </c>
      <c r="F740" s="482" t="s">
        <v>468</v>
      </c>
      <c r="G740" s="476">
        <v>90</v>
      </c>
      <c r="H740" s="475" t="s">
        <v>694</v>
      </c>
      <c r="I740" s="482" t="s">
        <v>706</v>
      </c>
      <c r="J740" s="503">
        <f t="shared" si="21"/>
        <v>11539.679999999998</v>
      </c>
    </row>
    <row r="741" spans="1:10" ht="20.25" customHeight="1">
      <c r="A741" s="471">
        <v>5151</v>
      </c>
      <c r="B741" s="481" t="s">
        <v>445</v>
      </c>
      <c r="C741" s="473">
        <v>278</v>
      </c>
      <c r="D741" s="482">
        <v>32307</v>
      </c>
      <c r="E741" s="474">
        <v>41878</v>
      </c>
      <c r="F741" s="482" t="s">
        <v>468</v>
      </c>
      <c r="G741" s="476">
        <v>90</v>
      </c>
      <c r="H741" s="475" t="s">
        <v>694</v>
      </c>
      <c r="I741" s="482" t="s">
        <v>706</v>
      </c>
      <c r="J741" s="503">
        <f t="shared" si="21"/>
        <v>11539.679999999998</v>
      </c>
    </row>
    <row r="742" spans="1:10" ht="20.25" customHeight="1">
      <c r="A742" s="471">
        <v>5151</v>
      </c>
      <c r="B742" s="481" t="s">
        <v>445</v>
      </c>
      <c r="C742" s="480">
        <v>279</v>
      </c>
      <c r="D742" s="482">
        <v>32307</v>
      </c>
      <c r="E742" s="474">
        <v>41878</v>
      </c>
      <c r="F742" s="482" t="s">
        <v>468</v>
      </c>
      <c r="G742" s="476">
        <v>90</v>
      </c>
      <c r="H742" s="475" t="s">
        <v>694</v>
      </c>
      <c r="I742" s="482" t="s">
        <v>706</v>
      </c>
      <c r="J742" s="503">
        <f t="shared" si="21"/>
        <v>11539.679999999998</v>
      </c>
    </row>
    <row r="743" spans="1:10" ht="20.25" customHeight="1">
      <c r="A743" s="471">
        <v>5151</v>
      </c>
      <c r="B743" s="481" t="s">
        <v>445</v>
      </c>
      <c r="C743" s="473">
        <v>280</v>
      </c>
      <c r="D743" s="482">
        <v>32307</v>
      </c>
      <c r="E743" s="474">
        <v>41878</v>
      </c>
      <c r="F743" s="482" t="s">
        <v>468</v>
      </c>
      <c r="G743" s="476">
        <v>90</v>
      </c>
      <c r="H743" s="475" t="s">
        <v>694</v>
      </c>
      <c r="I743" s="482" t="s">
        <v>706</v>
      </c>
      <c r="J743" s="503">
        <f t="shared" si="21"/>
        <v>11539.679999999998</v>
      </c>
    </row>
    <row r="744" spans="1:10" ht="20.25" customHeight="1">
      <c r="A744" s="471">
        <v>5151</v>
      </c>
      <c r="B744" s="481" t="s">
        <v>445</v>
      </c>
      <c r="C744" s="473">
        <v>281</v>
      </c>
      <c r="D744" s="482">
        <v>32307</v>
      </c>
      <c r="E744" s="474">
        <v>41878</v>
      </c>
      <c r="F744" s="482" t="s">
        <v>468</v>
      </c>
      <c r="G744" s="476">
        <v>90</v>
      </c>
      <c r="H744" s="475" t="s">
        <v>694</v>
      </c>
      <c r="I744" s="482" t="s">
        <v>706</v>
      </c>
      <c r="J744" s="503">
        <f t="shared" si="21"/>
        <v>11539.679999999998</v>
      </c>
    </row>
    <row r="745" spans="1:10" ht="20.25" customHeight="1">
      <c r="A745" s="471">
        <v>5151</v>
      </c>
      <c r="B745" s="481" t="s">
        <v>445</v>
      </c>
      <c r="C745" s="480">
        <v>282</v>
      </c>
      <c r="D745" s="482">
        <v>32307</v>
      </c>
      <c r="E745" s="474">
        <v>41878</v>
      </c>
      <c r="F745" s="482" t="s">
        <v>468</v>
      </c>
      <c r="G745" s="476">
        <v>90</v>
      </c>
      <c r="H745" s="475" t="s">
        <v>694</v>
      </c>
      <c r="I745" s="482" t="s">
        <v>706</v>
      </c>
      <c r="J745" s="503">
        <f t="shared" si="21"/>
        <v>11539.679999999998</v>
      </c>
    </row>
    <row r="746" spans="1:10" ht="20.25" customHeight="1">
      <c r="A746" s="471">
        <v>5151</v>
      </c>
      <c r="B746" s="481" t="s">
        <v>445</v>
      </c>
      <c r="C746" s="473">
        <v>283</v>
      </c>
      <c r="D746" s="482">
        <v>32307</v>
      </c>
      <c r="E746" s="474">
        <v>41878</v>
      </c>
      <c r="F746" s="482" t="s">
        <v>468</v>
      </c>
      <c r="G746" s="476">
        <v>90</v>
      </c>
      <c r="H746" s="475" t="s">
        <v>694</v>
      </c>
      <c r="I746" s="482" t="s">
        <v>706</v>
      </c>
      <c r="J746" s="503">
        <f t="shared" si="21"/>
        <v>11539.679999999998</v>
      </c>
    </row>
    <row r="747" spans="1:10" ht="20.25" customHeight="1">
      <c r="A747" s="471">
        <v>5151</v>
      </c>
      <c r="B747" s="481" t="s">
        <v>445</v>
      </c>
      <c r="C747" s="473">
        <v>284</v>
      </c>
      <c r="D747" s="482">
        <v>32307</v>
      </c>
      <c r="E747" s="474">
        <v>41878</v>
      </c>
      <c r="F747" s="482" t="s">
        <v>468</v>
      </c>
      <c r="G747" s="476">
        <v>90</v>
      </c>
      <c r="H747" s="475" t="s">
        <v>694</v>
      </c>
      <c r="I747" s="482" t="s">
        <v>706</v>
      </c>
      <c r="J747" s="503">
        <f t="shared" si="21"/>
        <v>11539.679999999998</v>
      </c>
    </row>
    <row r="748" spans="1:10" ht="20.25" customHeight="1">
      <c r="A748" s="471">
        <v>5151</v>
      </c>
      <c r="B748" s="481" t="s">
        <v>445</v>
      </c>
      <c r="C748" s="480">
        <v>285</v>
      </c>
      <c r="D748" s="482">
        <v>32307</v>
      </c>
      <c r="E748" s="474">
        <v>41878</v>
      </c>
      <c r="F748" s="482" t="s">
        <v>468</v>
      </c>
      <c r="G748" s="476">
        <v>90</v>
      </c>
      <c r="H748" s="475" t="s">
        <v>694</v>
      </c>
      <c r="I748" s="482" t="s">
        <v>706</v>
      </c>
      <c r="J748" s="503">
        <f t="shared" si="21"/>
        <v>11539.679999999998</v>
      </c>
    </row>
    <row r="749" spans="1:10" ht="20.25" customHeight="1">
      <c r="A749" s="471">
        <v>5151</v>
      </c>
      <c r="B749" s="481" t="s">
        <v>445</v>
      </c>
      <c r="C749" s="473">
        <v>286</v>
      </c>
      <c r="D749" s="482">
        <v>32307</v>
      </c>
      <c r="E749" s="474">
        <v>41878</v>
      </c>
      <c r="F749" s="482" t="s">
        <v>468</v>
      </c>
      <c r="G749" s="476">
        <v>90</v>
      </c>
      <c r="H749" s="475" t="s">
        <v>694</v>
      </c>
      <c r="I749" s="482" t="s">
        <v>706</v>
      </c>
      <c r="J749" s="503">
        <f t="shared" si="21"/>
        <v>11539.679999999998</v>
      </c>
    </row>
    <row r="750" spans="1:10" ht="20.25" customHeight="1">
      <c r="A750" s="471">
        <v>5151</v>
      </c>
      <c r="B750" s="481" t="s">
        <v>445</v>
      </c>
      <c r="C750" s="473">
        <v>287</v>
      </c>
      <c r="D750" s="482">
        <v>32307</v>
      </c>
      <c r="E750" s="474">
        <v>41878</v>
      </c>
      <c r="F750" s="482" t="s">
        <v>468</v>
      </c>
      <c r="G750" s="476">
        <v>90</v>
      </c>
      <c r="H750" s="475" t="s">
        <v>694</v>
      </c>
      <c r="I750" s="482" t="s">
        <v>706</v>
      </c>
      <c r="J750" s="503">
        <f t="shared" si="21"/>
        <v>11539.679999999998</v>
      </c>
    </row>
    <row r="751" spans="1:10" ht="20.25" customHeight="1">
      <c r="A751" s="471">
        <v>5151</v>
      </c>
      <c r="B751" s="481" t="s">
        <v>445</v>
      </c>
      <c r="C751" s="480">
        <v>288</v>
      </c>
      <c r="D751" s="482">
        <v>32307</v>
      </c>
      <c r="E751" s="474">
        <v>41878</v>
      </c>
      <c r="F751" s="482" t="s">
        <v>468</v>
      </c>
      <c r="G751" s="476">
        <v>90</v>
      </c>
      <c r="H751" s="475" t="s">
        <v>694</v>
      </c>
      <c r="I751" s="482" t="s">
        <v>706</v>
      </c>
      <c r="J751" s="503">
        <f t="shared" si="21"/>
        <v>11539.679999999998</v>
      </c>
    </row>
    <row r="752" spans="1:10" ht="20.25" customHeight="1">
      <c r="A752" s="471">
        <v>5151</v>
      </c>
      <c r="B752" s="481" t="s">
        <v>445</v>
      </c>
      <c r="C752" s="473">
        <v>289</v>
      </c>
      <c r="D752" s="482">
        <v>32307</v>
      </c>
      <c r="E752" s="474">
        <v>41878</v>
      </c>
      <c r="F752" s="482" t="s">
        <v>468</v>
      </c>
      <c r="G752" s="476">
        <v>90</v>
      </c>
      <c r="H752" s="475" t="s">
        <v>694</v>
      </c>
      <c r="I752" s="482" t="s">
        <v>706</v>
      </c>
      <c r="J752" s="503">
        <f t="shared" si="21"/>
        <v>11539.679999999998</v>
      </c>
    </row>
    <row r="753" spans="1:10" ht="20.25" customHeight="1">
      <c r="A753" s="471">
        <v>5151</v>
      </c>
      <c r="B753" s="481" t="s">
        <v>445</v>
      </c>
      <c r="C753" s="473">
        <v>290</v>
      </c>
      <c r="D753" s="482">
        <v>32307</v>
      </c>
      <c r="E753" s="474">
        <v>41878</v>
      </c>
      <c r="F753" s="482" t="s">
        <v>468</v>
      </c>
      <c r="G753" s="476">
        <v>90</v>
      </c>
      <c r="H753" s="475" t="s">
        <v>694</v>
      </c>
      <c r="I753" s="482" t="s">
        <v>706</v>
      </c>
      <c r="J753" s="503">
        <f t="shared" si="21"/>
        <v>11539.679999999998</v>
      </c>
    </row>
    <row r="754" spans="1:10" ht="20.25" customHeight="1">
      <c r="A754" s="471">
        <v>5151</v>
      </c>
      <c r="B754" s="481" t="s">
        <v>445</v>
      </c>
      <c r="C754" s="480">
        <v>291</v>
      </c>
      <c r="D754" s="482">
        <v>32307</v>
      </c>
      <c r="E754" s="474">
        <v>41878</v>
      </c>
      <c r="F754" s="482" t="s">
        <v>468</v>
      </c>
      <c r="G754" s="476">
        <v>90</v>
      </c>
      <c r="H754" s="475" t="s">
        <v>694</v>
      </c>
      <c r="I754" s="482" t="s">
        <v>706</v>
      </c>
      <c r="J754" s="503">
        <f t="shared" si="21"/>
        <v>11539.679999999998</v>
      </c>
    </row>
    <row r="755" spans="1:10" ht="20.25" customHeight="1">
      <c r="A755" s="471">
        <v>5151</v>
      </c>
      <c r="B755" s="481" t="s">
        <v>445</v>
      </c>
      <c r="C755" s="473">
        <v>292</v>
      </c>
      <c r="D755" s="482">
        <v>32307</v>
      </c>
      <c r="E755" s="474">
        <v>41878</v>
      </c>
      <c r="F755" s="482" t="s">
        <v>468</v>
      </c>
      <c r="G755" s="476">
        <v>90</v>
      </c>
      <c r="H755" s="475" t="s">
        <v>694</v>
      </c>
      <c r="I755" s="482" t="s">
        <v>706</v>
      </c>
      <c r="J755" s="503">
        <f t="shared" si="21"/>
        <v>11539.679999999998</v>
      </c>
    </row>
    <row r="756" spans="1:10" ht="20.25" customHeight="1">
      <c r="A756" s="471">
        <v>5151</v>
      </c>
      <c r="B756" s="481" t="s">
        <v>445</v>
      </c>
      <c r="C756" s="473">
        <v>293</v>
      </c>
      <c r="D756" s="482">
        <v>32307</v>
      </c>
      <c r="E756" s="474">
        <v>41878</v>
      </c>
      <c r="F756" s="482" t="s">
        <v>468</v>
      </c>
      <c r="G756" s="476">
        <v>90</v>
      </c>
      <c r="H756" s="475" t="s">
        <v>694</v>
      </c>
      <c r="I756" s="482" t="s">
        <v>706</v>
      </c>
      <c r="J756" s="503">
        <f t="shared" si="21"/>
        <v>11539.679999999998</v>
      </c>
    </row>
    <row r="757" spans="1:10" ht="20.25" customHeight="1">
      <c r="A757" s="471">
        <v>5151</v>
      </c>
      <c r="B757" s="481" t="s">
        <v>445</v>
      </c>
      <c r="C757" s="480">
        <v>294</v>
      </c>
      <c r="D757" s="482">
        <v>32307</v>
      </c>
      <c r="E757" s="474">
        <v>41878</v>
      </c>
      <c r="F757" s="482" t="s">
        <v>468</v>
      </c>
      <c r="G757" s="476">
        <v>90</v>
      </c>
      <c r="H757" s="475" t="s">
        <v>694</v>
      </c>
      <c r="I757" s="482" t="s">
        <v>706</v>
      </c>
      <c r="J757" s="503">
        <f t="shared" si="21"/>
        <v>11539.679999999998</v>
      </c>
    </row>
    <row r="758" spans="1:10" ht="20.25" customHeight="1">
      <c r="A758" s="471">
        <v>5151</v>
      </c>
      <c r="B758" s="481" t="s">
        <v>445</v>
      </c>
      <c r="C758" s="473">
        <v>295</v>
      </c>
      <c r="D758" s="482">
        <v>32307</v>
      </c>
      <c r="E758" s="474">
        <v>41878</v>
      </c>
      <c r="F758" s="482" t="s">
        <v>468</v>
      </c>
      <c r="G758" s="476">
        <v>90</v>
      </c>
      <c r="H758" s="475" t="s">
        <v>694</v>
      </c>
      <c r="I758" s="482" t="s">
        <v>706</v>
      </c>
      <c r="J758" s="503">
        <f t="shared" si="21"/>
        <v>11539.679999999998</v>
      </c>
    </row>
    <row r="759" spans="1:10" ht="20.25" customHeight="1">
      <c r="A759" s="471">
        <v>5151</v>
      </c>
      <c r="B759" s="481" t="s">
        <v>445</v>
      </c>
      <c r="C759" s="473">
        <v>296</v>
      </c>
      <c r="D759" s="482">
        <v>32307</v>
      </c>
      <c r="E759" s="474">
        <v>41878</v>
      </c>
      <c r="F759" s="482" t="s">
        <v>468</v>
      </c>
      <c r="G759" s="476">
        <v>90</v>
      </c>
      <c r="H759" s="475" t="s">
        <v>694</v>
      </c>
      <c r="I759" s="482" t="s">
        <v>706</v>
      </c>
      <c r="J759" s="503">
        <f t="shared" si="21"/>
        <v>11539.679999999998</v>
      </c>
    </row>
    <row r="760" spans="1:10" ht="20.25" customHeight="1">
      <c r="A760" s="471">
        <v>5151</v>
      </c>
      <c r="B760" s="481" t="s">
        <v>445</v>
      </c>
      <c r="C760" s="480">
        <v>297</v>
      </c>
      <c r="D760" s="482">
        <v>32307</v>
      </c>
      <c r="E760" s="474">
        <v>41878</v>
      </c>
      <c r="F760" s="482" t="s">
        <v>468</v>
      </c>
      <c r="G760" s="476">
        <v>90</v>
      </c>
      <c r="H760" s="475" t="s">
        <v>694</v>
      </c>
      <c r="I760" s="482" t="s">
        <v>706</v>
      </c>
      <c r="J760" s="503">
        <f t="shared" si="21"/>
        <v>11539.679999999998</v>
      </c>
    </row>
    <row r="761" spans="1:10" ht="20.25" customHeight="1">
      <c r="A761" s="471">
        <v>5151</v>
      </c>
      <c r="B761" s="481" t="s">
        <v>445</v>
      </c>
      <c r="C761" s="473">
        <v>298</v>
      </c>
      <c r="D761" s="482">
        <v>32307</v>
      </c>
      <c r="E761" s="474">
        <v>41878</v>
      </c>
      <c r="F761" s="482" t="s">
        <v>468</v>
      </c>
      <c r="G761" s="476">
        <v>90</v>
      </c>
      <c r="H761" s="475" t="s">
        <v>694</v>
      </c>
      <c r="I761" s="482" t="s">
        <v>706</v>
      </c>
      <c r="J761" s="503">
        <f t="shared" si="21"/>
        <v>11539.679999999998</v>
      </c>
    </row>
    <row r="762" spans="1:10" ht="20.25" customHeight="1">
      <c r="A762" s="471">
        <v>5151</v>
      </c>
      <c r="B762" s="481" t="s">
        <v>445</v>
      </c>
      <c r="C762" s="473">
        <v>299</v>
      </c>
      <c r="D762" s="482">
        <v>32307</v>
      </c>
      <c r="E762" s="474">
        <v>41878</v>
      </c>
      <c r="F762" s="482" t="s">
        <v>468</v>
      </c>
      <c r="G762" s="476">
        <v>90</v>
      </c>
      <c r="H762" s="475" t="s">
        <v>694</v>
      </c>
      <c r="I762" s="482" t="s">
        <v>706</v>
      </c>
      <c r="J762" s="503">
        <f t="shared" si="21"/>
        <v>11539.679999999998</v>
      </c>
    </row>
    <row r="763" spans="1:10" ht="20.25" customHeight="1">
      <c r="A763" s="471">
        <v>5151</v>
      </c>
      <c r="B763" s="481" t="s">
        <v>445</v>
      </c>
      <c r="C763" s="480">
        <v>300</v>
      </c>
      <c r="D763" s="482">
        <v>32307</v>
      </c>
      <c r="E763" s="474">
        <v>41878</v>
      </c>
      <c r="F763" s="482" t="s">
        <v>468</v>
      </c>
      <c r="G763" s="476">
        <v>90</v>
      </c>
      <c r="H763" s="475" t="s">
        <v>694</v>
      </c>
      <c r="I763" s="482" t="s">
        <v>706</v>
      </c>
      <c r="J763" s="503">
        <f t="shared" si="21"/>
        <v>11539.679999999998</v>
      </c>
    </row>
    <row r="764" spans="1:10" ht="20.25" customHeight="1">
      <c r="A764" s="471">
        <v>5151</v>
      </c>
      <c r="B764" s="481" t="s">
        <v>445</v>
      </c>
      <c r="C764" s="473">
        <v>301</v>
      </c>
      <c r="D764" s="482">
        <v>32307</v>
      </c>
      <c r="E764" s="474">
        <v>41878</v>
      </c>
      <c r="F764" s="482" t="s">
        <v>468</v>
      </c>
      <c r="G764" s="476">
        <v>90</v>
      </c>
      <c r="H764" s="475" t="s">
        <v>694</v>
      </c>
      <c r="I764" s="482" t="s">
        <v>706</v>
      </c>
      <c r="J764" s="503">
        <f t="shared" si="21"/>
        <v>11539.679999999998</v>
      </c>
    </row>
    <row r="765" spans="1:10" ht="20.25" customHeight="1">
      <c r="A765" s="471">
        <v>5151</v>
      </c>
      <c r="B765" s="481" t="s">
        <v>445</v>
      </c>
      <c r="C765" s="473">
        <v>302</v>
      </c>
      <c r="D765" s="482">
        <v>32307</v>
      </c>
      <c r="E765" s="474">
        <v>41878</v>
      </c>
      <c r="F765" s="482" t="s">
        <v>468</v>
      </c>
      <c r="G765" s="476">
        <v>90</v>
      </c>
      <c r="H765" s="475" t="s">
        <v>694</v>
      </c>
      <c r="I765" s="482" t="s">
        <v>706</v>
      </c>
      <c r="J765" s="503">
        <f t="shared" si="21"/>
        <v>11539.679999999998</v>
      </c>
    </row>
    <row r="766" spans="1:10" ht="20.25" customHeight="1">
      <c r="A766" s="471">
        <v>5151</v>
      </c>
      <c r="B766" s="481" t="s">
        <v>445</v>
      </c>
      <c r="C766" s="480">
        <v>303</v>
      </c>
      <c r="D766" s="482">
        <v>32307</v>
      </c>
      <c r="E766" s="474">
        <v>41878</v>
      </c>
      <c r="F766" s="482" t="s">
        <v>468</v>
      </c>
      <c r="G766" s="476">
        <v>90</v>
      </c>
      <c r="H766" s="475" t="s">
        <v>694</v>
      </c>
      <c r="I766" s="482" t="s">
        <v>706</v>
      </c>
      <c r="J766" s="503">
        <f t="shared" si="21"/>
        <v>11539.679999999998</v>
      </c>
    </row>
    <row r="767" spans="1:10" ht="20.25" customHeight="1">
      <c r="A767" s="471">
        <v>5151</v>
      </c>
      <c r="B767" s="481" t="s">
        <v>445</v>
      </c>
      <c r="C767" s="473">
        <v>304</v>
      </c>
      <c r="D767" s="482">
        <v>32307</v>
      </c>
      <c r="E767" s="474">
        <v>41878</v>
      </c>
      <c r="F767" s="482" t="s">
        <v>468</v>
      </c>
      <c r="G767" s="476">
        <v>90</v>
      </c>
      <c r="H767" s="475" t="s">
        <v>694</v>
      </c>
      <c r="I767" s="482" t="s">
        <v>706</v>
      </c>
      <c r="J767" s="503">
        <f t="shared" si="21"/>
        <v>11539.679999999998</v>
      </c>
    </row>
    <row r="768" spans="1:10" ht="20.25" customHeight="1">
      <c r="A768" s="471">
        <v>5151</v>
      </c>
      <c r="B768" s="481" t="s">
        <v>445</v>
      </c>
      <c r="C768" s="473">
        <v>305</v>
      </c>
      <c r="D768" s="482">
        <v>32307</v>
      </c>
      <c r="E768" s="474">
        <v>41878</v>
      </c>
      <c r="F768" s="482" t="s">
        <v>468</v>
      </c>
      <c r="G768" s="476">
        <v>90</v>
      </c>
      <c r="H768" s="475" t="s">
        <v>694</v>
      </c>
      <c r="I768" s="482" t="s">
        <v>706</v>
      </c>
      <c r="J768" s="503">
        <f t="shared" si="21"/>
        <v>11539.679999999998</v>
      </c>
    </row>
    <row r="769" spans="1:10" ht="20.25" customHeight="1">
      <c r="A769" s="471">
        <v>5151</v>
      </c>
      <c r="B769" s="481" t="s">
        <v>445</v>
      </c>
      <c r="C769" s="480">
        <v>306</v>
      </c>
      <c r="D769" s="482">
        <v>32307</v>
      </c>
      <c r="E769" s="474">
        <v>41878</v>
      </c>
      <c r="F769" s="482" t="s">
        <v>468</v>
      </c>
      <c r="G769" s="476">
        <v>90</v>
      </c>
      <c r="H769" s="475" t="s">
        <v>694</v>
      </c>
      <c r="I769" s="482" t="s">
        <v>706</v>
      </c>
      <c r="J769" s="503">
        <f t="shared" si="21"/>
        <v>11539.679999999998</v>
      </c>
    </row>
    <row r="770" spans="1:10" ht="20.25" customHeight="1">
      <c r="A770" s="471">
        <v>5151</v>
      </c>
      <c r="B770" s="481" t="s">
        <v>445</v>
      </c>
      <c r="C770" s="473">
        <v>307</v>
      </c>
      <c r="D770" s="482">
        <v>32307</v>
      </c>
      <c r="E770" s="474">
        <v>41878</v>
      </c>
      <c r="F770" s="482" t="s">
        <v>468</v>
      </c>
      <c r="G770" s="476">
        <v>90</v>
      </c>
      <c r="H770" s="475" t="s">
        <v>694</v>
      </c>
      <c r="I770" s="482" t="s">
        <v>706</v>
      </c>
      <c r="J770" s="503">
        <f t="shared" si="21"/>
        <v>11539.679999999998</v>
      </c>
    </row>
    <row r="771" spans="1:10" ht="20.25" customHeight="1">
      <c r="A771" s="471">
        <v>5151</v>
      </c>
      <c r="B771" s="481" t="s">
        <v>445</v>
      </c>
      <c r="C771" s="473">
        <v>308</v>
      </c>
      <c r="D771" s="482">
        <v>32307</v>
      </c>
      <c r="E771" s="474">
        <v>41878</v>
      </c>
      <c r="F771" s="482" t="s">
        <v>468</v>
      </c>
      <c r="G771" s="476">
        <v>90</v>
      </c>
      <c r="H771" s="475" t="s">
        <v>694</v>
      </c>
      <c r="I771" s="482" t="s">
        <v>706</v>
      </c>
      <c r="J771" s="503">
        <f t="shared" si="21"/>
        <v>11539.679999999998</v>
      </c>
    </row>
    <row r="772" spans="1:10" ht="20.25" customHeight="1">
      <c r="A772" s="471">
        <v>5151</v>
      </c>
      <c r="B772" s="481" t="s">
        <v>445</v>
      </c>
      <c r="C772" s="480">
        <v>309</v>
      </c>
      <c r="D772" s="482">
        <v>32307</v>
      </c>
      <c r="E772" s="474">
        <v>41878</v>
      </c>
      <c r="F772" s="482" t="s">
        <v>468</v>
      </c>
      <c r="G772" s="476">
        <v>90</v>
      </c>
      <c r="H772" s="475" t="s">
        <v>694</v>
      </c>
      <c r="I772" s="482" t="s">
        <v>706</v>
      </c>
      <c r="J772" s="503">
        <f t="shared" si="21"/>
        <v>11539.679999999998</v>
      </c>
    </row>
    <row r="773" spans="1:10" ht="20.25" customHeight="1">
      <c r="A773" s="471">
        <v>5151</v>
      </c>
      <c r="B773" s="481" t="s">
        <v>445</v>
      </c>
      <c r="C773" s="473">
        <v>310</v>
      </c>
      <c r="D773" s="482">
        <v>32307</v>
      </c>
      <c r="E773" s="474">
        <v>41878</v>
      </c>
      <c r="F773" s="482" t="s">
        <v>468</v>
      </c>
      <c r="G773" s="476">
        <v>90</v>
      </c>
      <c r="H773" s="475" t="s">
        <v>694</v>
      </c>
      <c r="I773" s="482" t="s">
        <v>706</v>
      </c>
      <c r="J773" s="503">
        <f t="shared" si="21"/>
        <v>11539.679999999998</v>
      </c>
    </row>
    <row r="774" spans="1:10" ht="20.25" customHeight="1">
      <c r="A774" s="471">
        <v>5151</v>
      </c>
      <c r="B774" s="481" t="s">
        <v>445</v>
      </c>
      <c r="C774" s="473">
        <v>311</v>
      </c>
      <c r="D774" s="482">
        <v>32307</v>
      </c>
      <c r="E774" s="474">
        <v>41878</v>
      </c>
      <c r="F774" s="482" t="s">
        <v>468</v>
      </c>
      <c r="G774" s="476">
        <v>90</v>
      </c>
      <c r="H774" s="475" t="s">
        <v>694</v>
      </c>
      <c r="I774" s="482" t="s">
        <v>706</v>
      </c>
      <c r="J774" s="503">
        <f t="shared" si="21"/>
        <v>11539.679999999998</v>
      </c>
    </row>
    <row r="775" spans="1:10" ht="20.25" customHeight="1">
      <c r="A775" s="471">
        <v>5151</v>
      </c>
      <c r="B775" s="481" t="s">
        <v>445</v>
      </c>
      <c r="C775" s="480">
        <v>312</v>
      </c>
      <c r="D775" s="482">
        <v>32307</v>
      </c>
      <c r="E775" s="474">
        <v>41878</v>
      </c>
      <c r="F775" s="482" t="s">
        <v>468</v>
      </c>
      <c r="G775" s="476">
        <v>90</v>
      </c>
      <c r="H775" s="475" t="s">
        <v>694</v>
      </c>
      <c r="I775" s="482" t="s">
        <v>706</v>
      </c>
      <c r="J775" s="503">
        <f t="shared" si="21"/>
        <v>11539.679999999998</v>
      </c>
    </row>
    <row r="776" spans="1:10" ht="20.25" customHeight="1">
      <c r="A776" s="471">
        <v>5151</v>
      </c>
      <c r="B776" s="481" t="s">
        <v>445</v>
      </c>
      <c r="C776" s="473">
        <v>313</v>
      </c>
      <c r="D776" s="482">
        <v>32307</v>
      </c>
      <c r="E776" s="474">
        <v>41878</v>
      </c>
      <c r="F776" s="482" t="s">
        <v>468</v>
      </c>
      <c r="G776" s="476">
        <v>90</v>
      </c>
      <c r="H776" s="475" t="s">
        <v>694</v>
      </c>
      <c r="I776" s="482" t="s">
        <v>706</v>
      </c>
      <c r="J776" s="503">
        <f t="shared" si="21"/>
        <v>11539.679999999998</v>
      </c>
    </row>
    <row r="777" spans="1:10" ht="20.25" customHeight="1">
      <c r="A777" s="471">
        <v>5151</v>
      </c>
      <c r="B777" s="481" t="s">
        <v>445</v>
      </c>
      <c r="C777" s="473">
        <v>314</v>
      </c>
      <c r="D777" s="482">
        <v>32307</v>
      </c>
      <c r="E777" s="474">
        <v>41878</v>
      </c>
      <c r="F777" s="482" t="s">
        <v>468</v>
      </c>
      <c r="G777" s="476">
        <v>90</v>
      </c>
      <c r="H777" s="475" t="s">
        <v>694</v>
      </c>
      <c r="I777" s="482" t="s">
        <v>706</v>
      </c>
      <c r="J777" s="503">
        <f t="shared" si="21"/>
        <v>11539.679999999998</v>
      </c>
    </row>
    <row r="778" spans="1:10" ht="20.25" customHeight="1">
      <c r="A778" s="471">
        <v>5151</v>
      </c>
      <c r="B778" s="481" t="s">
        <v>445</v>
      </c>
      <c r="C778" s="480">
        <v>315</v>
      </c>
      <c r="D778" s="482">
        <v>32307</v>
      </c>
      <c r="E778" s="474">
        <v>41878</v>
      </c>
      <c r="F778" s="482" t="s">
        <v>468</v>
      </c>
      <c r="G778" s="476">
        <v>90</v>
      </c>
      <c r="H778" s="475" t="s">
        <v>694</v>
      </c>
      <c r="I778" s="478" t="s">
        <v>707</v>
      </c>
      <c r="J778" s="503">
        <f t="shared" ref="J778:J795" si="22">22987*1.16</f>
        <v>26664.92</v>
      </c>
    </row>
    <row r="779" spans="1:10" ht="20.25" customHeight="1">
      <c r="A779" s="471">
        <v>5151</v>
      </c>
      <c r="B779" s="481" t="s">
        <v>445</v>
      </c>
      <c r="C779" s="473">
        <v>316</v>
      </c>
      <c r="D779" s="482">
        <v>32307</v>
      </c>
      <c r="E779" s="474">
        <v>41878</v>
      </c>
      <c r="F779" s="482" t="s">
        <v>468</v>
      </c>
      <c r="G779" s="476">
        <v>90</v>
      </c>
      <c r="H779" s="475" t="s">
        <v>694</v>
      </c>
      <c r="I779" s="478" t="s">
        <v>707</v>
      </c>
      <c r="J779" s="503">
        <f t="shared" si="22"/>
        <v>26664.92</v>
      </c>
    </row>
    <row r="780" spans="1:10" ht="20.25" customHeight="1">
      <c r="A780" s="471">
        <v>5151</v>
      </c>
      <c r="B780" s="481" t="s">
        <v>445</v>
      </c>
      <c r="C780" s="473">
        <v>317</v>
      </c>
      <c r="D780" s="482">
        <v>32307</v>
      </c>
      <c r="E780" s="474">
        <v>41878</v>
      </c>
      <c r="F780" s="482" t="s">
        <v>468</v>
      </c>
      <c r="G780" s="476">
        <v>90</v>
      </c>
      <c r="H780" s="475" t="s">
        <v>694</v>
      </c>
      <c r="I780" s="478" t="s">
        <v>707</v>
      </c>
      <c r="J780" s="503">
        <f t="shared" si="22"/>
        <v>26664.92</v>
      </c>
    </row>
    <row r="781" spans="1:10" ht="20.25" customHeight="1">
      <c r="A781" s="471">
        <v>5151</v>
      </c>
      <c r="B781" s="481" t="s">
        <v>445</v>
      </c>
      <c r="C781" s="480">
        <v>318</v>
      </c>
      <c r="D781" s="482">
        <v>32307</v>
      </c>
      <c r="E781" s="474">
        <v>41878</v>
      </c>
      <c r="F781" s="482" t="s">
        <v>468</v>
      </c>
      <c r="G781" s="476">
        <v>90</v>
      </c>
      <c r="H781" s="475" t="s">
        <v>694</v>
      </c>
      <c r="I781" s="478" t="s">
        <v>707</v>
      </c>
      <c r="J781" s="503">
        <f t="shared" si="22"/>
        <v>26664.92</v>
      </c>
    </row>
    <row r="782" spans="1:10" ht="20.25" customHeight="1">
      <c r="A782" s="471">
        <v>5151</v>
      </c>
      <c r="B782" s="481" t="s">
        <v>445</v>
      </c>
      <c r="C782" s="473">
        <v>319</v>
      </c>
      <c r="D782" s="482">
        <v>32307</v>
      </c>
      <c r="E782" s="474">
        <v>41878</v>
      </c>
      <c r="F782" s="482" t="s">
        <v>468</v>
      </c>
      <c r="G782" s="476">
        <v>90</v>
      </c>
      <c r="H782" s="475" t="s">
        <v>694</v>
      </c>
      <c r="I782" s="478" t="s">
        <v>707</v>
      </c>
      <c r="J782" s="503">
        <f t="shared" si="22"/>
        <v>26664.92</v>
      </c>
    </row>
    <row r="783" spans="1:10" ht="20.25" customHeight="1">
      <c r="A783" s="471">
        <v>5151</v>
      </c>
      <c r="B783" s="481" t="s">
        <v>445</v>
      </c>
      <c r="C783" s="473">
        <v>320</v>
      </c>
      <c r="D783" s="482">
        <v>32307</v>
      </c>
      <c r="E783" s="474">
        <v>41878</v>
      </c>
      <c r="F783" s="482" t="s">
        <v>468</v>
      </c>
      <c r="G783" s="476">
        <v>90</v>
      </c>
      <c r="H783" s="475" t="s">
        <v>694</v>
      </c>
      <c r="I783" s="478" t="s">
        <v>707</v>
      </c>
      <c r="J783" s="503">
        <f t="shared" si="22"/>
        <v>26664.92</v>
      </c>
    </row>
    <row r="784" spans="1:10" ht="20.25" customHeight="1">
      <c r="A784" s="471">
        <v>5151</v>
      </c>
      <c r="B784" s="481" t="s">
        <v>445</v>
      </c>
      <c r="C784" s="480">
        <v>321</v>
      </c>
      <c r="D784" s="482">
        <v>32307</v>
      </c>
      <c r="E784" s="474">
        <v>41878</v>
      </c>
      <c r="F784" s="482" t="s">
        <v>468</v>
      </c>
      <c r="G784" s="476">
        <v>90</v>
      </c>
      <c r="H784" s="475" t="s">
        <v>694</v>
      </c>
      <c r="I784" s="478" t="s">
        <v>707</v>
      </c>
      <c r="J784" s="503">
        <f t="shared" si="22"/>
        <v>26664.92</v>
      </c>
    </row>
    <row r="785" spans="1:10" ht="20.25" customHeight="1">
      <c r="A785" s="471">
        <v>5151</v>
      </c>
      <c r="B785" s="481" t="s">
        <v>445</v>
      </c>
      <c r="C785" s="473">
        <v>322</v>
      </c>
      <c r="D785" s="482">
        <v>32307</v>
      </c>
      <c r="E785" s="474">
        <v>41878</v>
      </c>
      <c r="F785" s="482" t="s">
        <v>468</v>
      </c>
      <c r="G785" s="476">
        <v>90</v>
      </c>
      <c r="H785" s="475" t="s">
        <v>694</v>
      </c>
      <c r="I785" s="478" t="s">
        <v>707</v>
      </c>
      <c r="J785" s="503">
        <f t="shared" si="22"/>
        <v>26664.92</v>
      </c>
    </row>
    <row r="786" spans="1:10" ht="20.25" customHeight="1">
      <c r="A786" s="471">
        <v>5151</v>
      </c>
      <c r="B786" s="481" t="s">
        <v>445</v>
      </c>
      <c r="C786" s="473">
        <v>323</v>
      </c>
      <c r="D786" s="482">
        <v>32307</v>
      </c>
      <c r="E786" s="474">
        <v>41878</v>
      </c>
      <c r="F786" s="482" t="s">
        <v>468</v>
      </c>
      <c r="G786" s="476">
        <v>90</v>
      </c>
      <c r="H786" s="475" t="s">
        <v>694</v>
      </c>
      <c r="I786" s="478" t="s">
        <v>707</v>
      </c>
      <c r="J786" s="503">
        <f t="shared" si="22"/>
        <v>26664.92</v>
      </c>
    </row>
    <row r="787" spans="1:10" ht="20.25" customHeight="1">
      <c r="A787" s="471">
        <v>5151</v>
      </c>
      <c r="B787" s="481" t="s">
        <v>445</v>
      </c>
      <c r="C787" s="480">
        <v>324</v>
      </c>
      <c r="D787" s="482">
        <v>32307</v>
      </c>
      <c r="E787" s="474">
        <v>41878</v>
      </c>
      <c r="F787" s="482" t="s">
        <v>468</v>
      </c>
      <c r="G787" s="476">
        <v>90</v>
      </c>
      <c r="H787" s="475" t="s">
        <v>694</v>
      </c>
      <c r="I787" s="478" t="s">
        <v>707</v>
      </c>
      <c r="J787" s="503">
        <f t="shared" si="22"/>
        <v>26664.92</v>
      </c>
    </row>
    <row r="788" spans="1:10" ht="20.25" customHeight="1">
      <c r="A788" s="471">
        <v>5151</v>
      </c>
      <c r="B788" s="481" t="s">
        <v>445</v>
      </c>
      <c r="C788" s="473">
        <v>325</v>
      </c>
      <c r="D788" s="482">
        <v>32307</v>
      </c>
      <c r="E788" s="474">
        <v>41878</v>
      </c>
      <c r="F788" s="482" t="s">
        <v>468</v>
      </c>
      <c r="G788" s="476">
        <v>90</v>
      </c>
      <c r="H788" s="475" t="s">
        <v>694</v>
      </c>
      <c r="I788" s="478" t="s">
        <v>707</v>
      </c>
      <c r="J788" s="503">
        <f t="shared" si="22"/>
        <v>26664.92</v>
      </c>
    </row>
    <row r="789" spans="1:10" ht="20.25" customHeight="1">
      <c r="A789" s="471">
        <v>5151</v>
      </c>
      <c r="B789" s="481" t="s">
        <v>445</v>
      </c>
      <c r="C789" s="473">
        <v>326</v>
      </c>
      <c r="D789" s="482">
        <v>32307</v>
      </c>
      <c r="E789" s="474">
        <v>41878</v>
      </c>
      <c r="F789" s="482" t="s">
        <v>468</v>
      </c>
      <c r="G789" s="476">
        <v>90</v>
      </c>
      <c r="H789" s="475" t="s">
        <v>694</v>
      </c>
      <c r="I789" s="478" t="s">
        <v>707</v>
      </c>
      <c r="J789" s="503">
        <f t="shared" si="22"/>
        <v>26664.92</v>
      </c>
    </row>
    <row r="790" spans="1:10" ht="20.25" customHeight="1">
      <c r="A790" s="471">
        <v>5151</v>
      </c>
      <c r="B790" s="481" t="s">
        <v>445</v>
      </c>
      <c r="C790" s="480">
        <v>327</v>
      </c>
      <c r="D790" s="482">
        <v>32307</v>
      </c>
      <c r="E790" s="474">
        <v>41878</v>
      </c>
      <c r="F790" s="482" t="s">
        <v>468</v>
      </c>
      <c r="G790" s="476">
        <v>90</v>
      </c>
      <c r="H790" s="475" t="s">
        <v>694</v>
      </c>
      <c r="I790" s="478" t="s">
        <v>707</v>
      </c>
      <c r="J790" s="503">
        <f t="shared" si="22"/>
        <v>26664.92</v>
      </c>
    </row>
    <row r="791" spans="1:10" ht="20.25" customHeight="1">
      <c r="A791" s="471">
        <v>5151</v>
      </c>
      <c r="B791" s="481" t="s">
        <v>445</v>
      </c>
      <c r="C791" s="473">
        <v>328</v>
      </c>
      <c r="D791" s="482">
        <v>32307</v>
      </c>
      <c r="E791" s="474">
        <v>41878</v>
      </c>
      <c r="F791" s="482" t="s">
        <v>468</v>
      </c>
      <c r="G791" s="476">
        <v>90</v>
      </c>
      <c r="H791" s="475" t="s">
        <v>694</v>
      </c>
      <c r="I791" s="478" t="s">
        <v>707</v>
      </c>
      <c r="J791" s="503">
        <f t="shared" si="22"/>
        <v>26664.92</v>
      </c>
    </row>
    <row r="792" spans="1:10" ht="20.25" customHeight="1">
      <c r="A792" s="471">
        <v>5151</v>
      </c>
      <c r="B792" s="481" t="s">
        <v>445</v>
      </c>
      <c r="C792" s="473">
        <v>329</v>
      </c>
      <c r="D792" s="482">
        <v>32307</v>
      </c>
      <c r="E792" s="474">
        <v>41878</v>
      </c>
      <c r="F792" s="482" t="s">
        <v>468</v>
      </c>
      <c r="G792" s="476">
        <v>90</v>
      </c>
      <c r="H792" s="475" t="s">
        <v>694</v>
      </c>
      <c r="I792" s="478" t="s">
        <v>707</v>
      </c>
      <c r="J792" s="503">
        <f t="shared" si="22"/>
        <v>26664.92</v>
      </c>
    </row>
    <row r="793" spans="1:10" ht="20.25" customHeight="1">
      <c r="A793" s="471">
        <v>5151</v>
      </c>
      <c r="B793" s="481" t="s">
        <v>445</v>
      </c>
      <c r="C793" s="480">
        <v>330</v>
      </c>
      <c r="D793" s="482">
        <v>32307</v>
      </c>
      <c r="E793" s="474">
        <v>41878</v>
      </c>
      <c r="F793" s="482" t="s">
        <v>468</v>
      </c>
      <c r="G793" s="476">
        <v>90</v>
      </c>
      <c r="H793" s="475" t="s">
        <v>694</v>
      </c>
      <c r="I793" s="478" t="s">
        <v>707</v>
      </c>
      <c r="J793" s="503">
        <f t="shared" si="22"/>
        <v>26664.92</v>
      </c>
    </row>
    <row r="794" spans="1:10" ht="20.25" customHeight="1">
      <c r="A794" s="471">
        <v>5151</v>
      </c>
      <c r="B794" s="481" t="s">
        <v>445</v>
      </c>
      <c r="C794" s="473">
        <v>331</v>
      </c>
      <c r="D794" s="482">
        <v>32307</v>
      </c>
      <c r="E794" s="474">
        <v>41878</v>
      </c>
      <c r="F794" s="482" t="s">
        <v>468</v>
      </c>
      <c r="G794" s="476">
        <v>90</v>
      </c>
      <c r="H794" s="475" t="s">
        <v>694</v>
      </c>
      <c r="I794" s="478" t="s">
        <v>707</v>
      </c>
      <c r="J794" s="503">
        <f t="shared" si="22"/>
        <v>26664.92</v>
      </c>
    </row>
    <row r="795" spans="1:10" ht="20.25" customHeight="1">
      <c r="A795" s="471">
        <v>5151</v>
      </c>
      <c r="B795" s="481" t="s">
        <v>445</v>
      </c>
      <c r="C795" s="473">
        <v>332</v>
      </c>
      <c r="D795" s="482">
        <v>32307</v>
      </c>
      <c r="E795" s="474">
        <v>41878</v>
      </c>
      <c r="F795" s="482" t="s">
        <v>468</v>
      </c>
      <c r="G795" s="476">
        <v>90</v>
      </c>
      <c r="H795" s="475" t="s">
        <v>694</v>
      </c>
      <c r="I795" s="478" t="s">
        <v>707</v>
      </c>
      <c r="J795" s="503">
        <f t="shared" si="22"/>
        <v>26664.92</v>
      </c>
    </row>
    <row r="796" spans="1:10" ht="20.25" customHeight="1">
      <c r="A796" s="471">
        <v>5151</v>
      </c>
      <c r="B796" s="481" t="s">
        <v>445</v>
      </c>
      <c r="C796" s="480">
        <v>333</v>
      </c>
      <c r="D796" s="482">
        <v>32307</v>
      </c>
      <c r="E796" s="474">
        <v>41878</v>
      </c>
      <c r="F796" s="482" t="s">
        <v>468</v>
      </c>
      <c r="G796" s="476">
        <v>90</v>
      </c>
      <c r="H796" s="475" t="s">
        <v>694</v>
      </c>
      <c r="I796" s="478" t="s">
        <v>708</v>
      </c>
      <c r="J796" s="503">
        <f t="shared" ref="J796:J815" si="23">6095*1.16</f>
        <v>7070.2</v>
      </c>
    </row>
    <row r="797" spans="1:10" ht="20.25" customHeight="1">
      <c r="A797" s="471">
        <v>5151</v>
      </c>
      <c r="B797" s="481" t="s">
        <v>445</v>
      </c>
      <c r="C797" s="473">
        <v>334</v>
      </c>
      <c r="D797" s="482">
        <v>32307</v>
      </c>
      <c r="E797" s="474">
        <v>41878</v>
      </c>
      <c r="F797" s="482" t="s">
        <v>468</v>
      </c>
      <c r="G797" s="476">
        <v>90</v>
      </c>
      <c r="H797" s="475" t="s">
        <v>694</v>
      </c>
      <c r="I797" s="478" t="s">
        <v>708</v>
      </c>
      <c r="J797" s="503">
        <f t="shared" si="23"/>
        <v>7070.2</v>
      </c>
    </row>
    <row r="798" spans="1:10" ht="20.25" customHeight="1">
      <c r="A798" s="471">
        <v>5151</v>
      </c>
      <c r="B798" s="481" t="s">
        <v>445</v>
      </c>
      <c r="C798" s="473">
        <v>335</v>
      </c>
      <c r="D798" s="482">
        <v>32307</v>
      </c>
      <c r="E798" s="474">
        <v>41878</v>
      </c>
      <c r="F798" s="482" t="s">
        <v>468</v>
      </c>
      <c r="G798" s="476">
        <v>90</v>
      </c>
      <c r="H798" s="475" t="s">
        <v>694</v>
      </c>
      <c r="I798" s="478" t="s">
        <v>708</v>
      </c>
      <c r="J798" s="503">
        <f t="shared" si="23"/>
        <v>7070.2</v>
      </c>
    </row>
    <row r="799" spans="1:10" ht="20.25" customHeight="1">
      <c r="A799" s="471">
        <v>5151</v>
      </c>
      <c r="B799" s="481" t="s">
        <v>445</v>
      </c>
      <c r="C799" s="480">
        <v>336</v>
      </c>
      <c r="D799" s="482">
        <v>32307</v>
      </c>
      <c r="E799" s="474">
        <v>41878</v>
      </c>
      <c r="F799" s="482" t="s">
        <v>468</v>
      </c>
      <c r="G799" s="476">
        <v>90</v>
      </c>
      <c r="H799" s="475" t="s">
        <v>694</v>
      </c>
      <c r="I799" s="478" t="s">
        <v>708</v>
      </c>
      <c r="J799" s="503">
        <f t="shared" si="23"/>
        <v>7070.2</v>
      </c>
    </row>
    <row r="800" spans="1:10" ht="20.25" customHeight="1">
      <c r="A800" s="471">
        <v>5151</v>
      </c>
      <c r="B800" s="481" t="s">
        <v>445</v>
      </c>
      <c r="C800" s="473">
        <v>337</v>
      </c>
      <c r="D800" s="482">
        <v>32307</v>
      </c>
      <c r="E800" s="474">
        <v>41878</v>
      </c>
      <c r="F800" s="482" t="s">
        <v>468</v>
      </c>
      <c r="G800" s="476">
        <v>90</v>
      </c>
      <c r="H800" s="475" t="s">
        <v>694</v>
      </c>
      <c r="I800" s="478" t="s">
        <v>708</v>
      </c>
      <c r="J800" s="503">
        <f t="shared" si="23"/>
        <v>7070.2</v>
      </c>
    </row>
    <row r="801" spans="1:10" ht="20.25" customHeight="1">
      <c r="A801" s="471">
        <v>5151</v>
      </c>
      <c r="B801" s="481" t="s">
        <v>445</v>
      </c>
      <c r="C801" s="473">
        <v>338</v>
      </c>
      <c r="D801" s="482">
        <v>32307</v>
      </c>
      <c r="E801" s="474">
        <v>41878</v>
      </c>
      <c r="F801" s="482" t="s">
        <v>468</v>
      </c>
      <c r="G801" s="476">
        <v>90</v>
      </c>
      <c r="H801" s="475" t="s">
        <v>694</v>
      </c>
      <c r="I801" s="478" t="s">
        <v>708</v>
      </c>
      <c r="J801" s="503">
        <f t="shared" si="23"/>
        <v>7070.2</v>
      </c>
    </row>
    <row r="802" spans="1:10" ht="20.25" customHeight="1">
      <c r="A802" s="471">
        <v>5151</v>
      </c>
      <c r="B802" s="481" t="s">
        <v>445</v>
      </c>
      <c r="C802" s="480">
        <v>339</v>
      </c>
      <c r="D802" s="482">
        <v>32307</v>
      </c>
      <c r="E802" s="474">
        <v>41878</v>
      </c>
      <c r="F802" s="482" t="s">
        <v>468</v>
      </c>
      <c r="G802" s="476">
        <v>90</v>
      </c>
      <c r="H802" s="475" t="s">
        <v>694</v>
      </c>
      <c r="I802" s="478" t="s">
        <v>708</v>
      </c>
      <c r="J802" s="503">
        <f t="shared" si="23"/>
        <v>7070.2</v>
      </c>
    </row>
    <row r="803" spans="1:10" ht="20.25" customHeight="1">
      <c r="A803" s="471">
        <v>5151</v>
      </c>
      <c r="B803" s="481" t="s">
        <v>445</v>
      </c>
      <c r="C803" s="473">
        <v>340</v>
      </c>
      <c r="D803" s="482">
        <v>32307</v>
      </c>
      <c r="E803" s="474">
        <v>41878</v>
      </c>
      <c r="F803" s="482" t="s">
        <v>468</v>
      </c>
      <c r="G803" s="476">
        <v>90</v>
      </c>
      <c r="H803" s="475" t="s">
        <v>694</v>
      </c>
      <c r="I803" s="478" t="s">
        <v>708</v>
      </c>
      <c r="J803" s="503">
        <f t="shared" si="23"/>
        <v>7070.2</v>
      </c>
    </row>
    <row r="804" spans="1:10" ht="20.25" customHeight="1">
      <c r="A804" s="471">
        <v>5151</v>
      </c>
      <c r="B804" s="481" t="s">
        <v>445</v>
      </c>
      <c r="C804" s="473">
        <v>341</v>
      </c>
      <c r="D804" s="482">
        <v>32307</v>
      </c>
      <c r="E804" s="474">
        <v>41878</v>
      </c>
      <c r="F804" s="482" t="s">
        <v>468</v>
      </c>
      <c r="G804" s="476">
        <v>90</v>
      </c>
      <c r="H804" s="475" t="s">
        <v>694</v>
      </c>
      <c r="I804" s="478" t="s">
        <v>708</v>
      </c>
      <c r="J804" s="503">
        <f t="shared" si="23"/>
        <v>7070.2</v>
      </c>
    </row>
    <row r="805" spans="1:10" ht="20.25" customHeight="1">
      <c r="A805" s="471">
        <v>5151</v>
      </c>
      <c r="B805" s="481" t="s">
        <v>445</v>
      </c>
      <c r="C805" s="480">
        <v>342</v>
      </c>
      <c r="D805" s="482">
        <v>32307</v>
      </c>
      <c r="E805" s="474">
        <v>41878</v>
      </c>
      <c r="F805" s="482" t="s">
        <v>468</v>
      </c>
      <c r="G805" s="476">
        <v>90</v>
      </c>
      <c r="H805" s="475" t="s">
        <v>694</v>
      </c>
      <c r="I805" s="478" t="s">
        <v>708</v>
      </c>
      <c r="J805" s="503">
        <f t="shared" si="23"/>
        <v>7070.2</v>
      </c>
    </row>
    <row r="806" spans="1:10" ht="20.25" customHeight="1">
      <c r="A806" s="471">
        <v>5151</v>
      </c>
      <c r="B806" s="481" t="s">
        <v>445</v>
      </c>
      <c r="C806" s="473">
        <v>343</v>
      </c>
      <c r="D806" s="482">
        <v>32307</v>
      </c>
      <c r="E806" s="474">
        <v>41878</v>
      </c>
      <c r="F806" s="482" t="s">
        <v>468</v>
      </c>
      <c r="G806" s="476">
        <v>90</v>
      </c>
      <c r="H806" s="475" t="s">
        <v>694</v>
      </c>
      <c r="I806" s="478" t="s">
        <v>708</v>
      </c>
      <c r="J806" s="503">
        <f t="shared" si="23"/>
        <v>7070.2</v>
      </c>
    </row>
    <row r="807" spans="1:10" ht="20.25" customHeight="1">
      <c r="A807" s="471">
        <v>5151</v>
      </c>
      <c r="B807" s="481" t="s">
        <v>445</v>
      </c>
      <c r="C807" s="473">
        <v>344</v>
      </c>
      <c r="D807" s="482">
        <v>32307</v>
      </c>
      <c r="E807" s="474">
        <v>41878</v>
      </c>
      <c r="F807" s="482" t="s">
        <v>468</v>
      </c>
      <c r="G807" s="476">
        <v>90</v>
      </c>
      <c r="H807" s="475" t="s">
        <v>694</v>
      </c>
      <c r="I807" s="478" t="s">
        <v>708</v>
      </c>
      <c r="J807" s="503">
        <f t="shared" si="23"/>
        <v>7070.2</v>
      </c>
    </row>
    <row r="808" spans="1:10" ht="20.25" customHeight="1">
      <c r="A808" s="471">
        <v>5151</v>
      </c>
      <c r="B808" s="481" t="s">
        <v>445</v>
      </c>
      <c r="C808" s="480">
        <v>345</v>
      </c>
      <c r="D808" s="482">
        <v>32307</v>
      </c>
      <c r="E808" s="474">
        <v>41878</v>
      </c>
      <c r="F808" s="482" t="s">
        <v>468</v>
      </c>
      <c r="G808" s="476">
        <v>90</v>
      </c>
      <c r="H808" s="475" t="s">
        <v>694</v>
      </c>
      <c r="I808" s="478" t="s">
        <v>708</v>
      </c>
      <c r="J808" s="503">
        <f t="shared" si="23"/>
        <v>7070.2</v>
      </c>
    </row>
    <row r="809" spans="1:10" ht="20.25" customHeight="1">
      <c r="A809" s="471">
        <v>5151</v>
      </c>
      <c r="B809" s="481" t="s">
        <v>445</v>
      </c>
      <c r="C809" s="473">
        <v>346</v>
      </c>
      <c r="D809" s="482">
        <v>32307</v>
      </c>
      <c r="E809" s="474">
        <v>41878</v>
      </c>
      <c r="F809" s="482" t="s">
        <v>468</v>
      </c>
      <c r="G809" s="476">
        <v>90</v>
      </c>
      <c r="H809" s="475" t="s">
        <v>694</v>
      </c>
      <c r="I809" s="478" t="s">
        <v>708</v>
      </c>
      <c r="J809" s="503">
        <f t="shared" si="23"/>
        <v>7070.2</v>
      </c>
    </row>
    <row r="810" spans="1:10" ht="20.25" customHeight="1">
      <c r="A810" s="471">
        <v>5151</v>
      </c>
      <c r="B810" s="481" t="s">
        <v>445</v>
      </c>
      <c r="C810" s="473">
        <v>347</v>
      </c>
      <c r="D810" s="482">
        <v>32307</v>
      </c>
      <c r="E810" s="474">
        <v>41878</v>
      </c>
      <c r="F810" s="482" t="s">
        <v>468</v>
      </c>
      <c r="G810" s="476">
        <v>90</v>
      </c>
      <c r="H810" s="475" t="s">
        <v>694</v>
      </c>
      <c r="I810" s="478" t="s">
        <v>708</v>
      </c>
      <c r="J810" s="503">
        <f t="shared" si="23"/>
        <v>7070.2</v>
      </c>
    </row>
    <row r="811" spans="1:10" ht="20.25" customHeight="1">
      <c r="A811" s="471">
        <v>5151</v>
      </c>
      <c r="B811" s="481" t="s">
        <v>445</v>
      </c>
      <c r="C811" s="480">
        <v>348</v>
      </c>
      <c r="D811" s="482">
        <v>32307</v>
      </c>
      <c r="E811" s="474">
        <v>41878</v>
      </c>
      <c r="F811" s="482" t="s">
        <v>468</v>
      </c>
      <c r="G811" s="476">
        <v>90</v>
      </c>
      <c r="H811" s="475" t="s">
        <v>694</v>
      </c>
      <c r="I811" s="478" t="s">
        <v>708</v>
      </c>
      <c r="J811" s="503">
        <f t="shared" si="23"/>
        <v>7070.2</v>
      </c>
    </row>
    <row r="812" spans="1:10" ht="20.25" customHeight="1">
      <c r="A812" s="471">
        <v>5151</v>
      </c>
      <c r="B812" s="481" t="s">
        <v>445</v>
      </c>
      <c r="C812" s="473">
        <v>349</v>
      </c>
      <c r="D812" s="482">
        <v>32307</v>
      </c>
      <c r="E812" s="474">
        <v>41878</v>
      </c>
      <c r="F812" s="482" t="s">
        <v>468</v>
      </c>
      <c r="G812" s="476">
        <v>90</v>
      </c>
      <c r="H812" s="475" t="s">
        <v>694</v>
      </c>
      <c r="I812" s="478" t="s">
        <v>708</v>
      </c>
      <c r="J812" s="503">
        <f t="shared" si="23"/>
        <v>7070.2</v>
      </c>
    </row>
    <row r="813" spans="1:10" ht="20.25" customHeight="1">
      <c r="A813" s="471">
        <v>5151</v>
      </c>
      <c r="B813" s="481" t="s">
        <v>445</v>
      </c>
      <c r="C813" s="473">
        <v>350</v>
      </c>
      <c r="D813" s="482">
        <v>32307</v>
      </c>
      <c r="E813" s="474">
        <v>41878</v>
      </c>
      <c r="F813" s="482" t="s">
        <v>468</v>
      </c>
      <c r="G813" s="476">
        <v>90</v>
      </c>
      <c r="H813" s="475" t="s">
        <v>694</v>
      </c>
      <c r="I813" s="478" t="s">
        <v>708</v>
      </c>
      <c r="J813" s="503">
        <f t="shared" si="23"/>
        <v>7070.2</v>
      </c>
    </row>
    <row r="814" spans="1:10" ht="20.25" customHeight="1">
      <c r="A814" s="471">
        <v>5151</v>
      </c>
      <c r="B814" s="481" t="s">
        <v>445</v>
      </c>
      <c r="C814" s="480">
        <v>351</v>
      </c>
      <c r="D814" s="482">
        <v>32307</v>
      </c>
      <c r="E814" s="474">
        <v>41878</v>
      </c>
      <c r="F814" s="482" t="s">
        <v>468</v>
      </c>
      <c r="G814" s="476">
        <v>90</v>
      </c>
      <c r="H814" s="475" t="s">
        <v>694</v>
      </c>
      <c r="I814" s="478" t="s">
        <v>708</v>
      </c>
      <c r="J814" s="503">
        <f t="shared" si="23"/>
        <v>7070.2</v>
      </c>
    </row>
    <row r="815" spans="1:10" ht="20.25" customHeight="1">
      <c r="A815" s="471">
        <v>5151</v>
      </c>
      <c r="B815" s="481" t="s">
        <v>445</v>
      </c>
      <c r="C815" s="473">
        <v>352</v>
      </c>
      <c r="D815" s="482">
        <v>32307</v>
      </c>
      <c r="E815" s="474">
        <v>41878</v>
      </c>
      <c r="F815" s="482" t="s">
        <v>468</v>
      </c>
      <c r="G815" s="476">
        <v>90</v>
      </c>
      <c r="H815" s="475" t="s">
        <v>694</v>
      </c>
      <c r="I815" s="478" t="s">
        <v>708</v>
      </c>
      <c r="J815" s="503">
        <f t="shared" si="23"/>
        <v>7070.2</v>
      </c>
    </row>
    <row r="816" spans="1:10" ht="20.25" customHeight="1">
      <c r="A816" s="471">
        <v>5151</v>
      </c>
      <c r="B816" s="481" t="s">
        <v>445</v>
      </c>
      <c r="C816" s="480">
        <v>353</v>
      </c>
      <c r="D816" s="482" t="s">
        <v>709</v>
      </c>
      <c r="E816" s="474">
        <v>41925</v>
      </c>
      <c r="F816" s="482" t="s">
        <v>468</v>
      </c>
      <c r="G816" s="476">
        <v>90</v>
      </c>
      <c r="H816" s="475" t="s">
        <v>694</v>
      </c>
      <c r="I816" s="478" t="s">
        <v>710</v>
      </c>
      <c r="J816" s="503">
        <f t="shared" ref="J816:J831" si="24">5172.41*1.16</f>
        <v>5999.9955999999993</v>
      </c>
    </row>
    <row r="817" spans="1:10" ht="20.25" customHeight="1">
      <c r="A817" s="471">
        <v>5151</v>
      </c>
      <c r="B817" s="481" t="s">
        <v>445</v>
      </c>
      <c r="C817" s="473">
        <v>354</v>
      </c>
      <c r="D817" s="482" t="s">
        <v>709</v>
      </c>
      <c r="E817" s="474">
        <v>41925</v>
      </c>
      <c r="F817" s="482" t="s">
        <v>468</v>
      </c>
      <c r="G817" s="476">
        <v>90</v>
      </c>
      <c r="H817" s="475" t="s">
        <v>694</v>
      </c>
      <c r="I817" s="478" t="s">
        <v>710</v>
      </c>
      <c r="J817" s="503">
        <f t="shared" si="24"/>
        <v>5999.9955999999993</v>
      </c>
    </row>
    <row r="818" spans="1:10" ht="20.25" customHeight="1">
      <c r="A818" s="471">
        <v>5151</v>
      </c>
      <c r="B818" s="481" t="s">
        <v>445</v>
      </c>
      <c r="C818" s="480">
        <v>355</v>
      </c>
      <c r="D818" s="482" t="s">
        <v>709</v>
      </c>
      <c r="E818" s="474">
        <v>41925</v>
      </c>
      <c r="F818" s="482" t="s">
        <v>468</v>
      </c>
      <c r="G818" s="476">
        <v>90</v>
      </c>
      <c r="H818" s="475" t="s">
        <v>694</v>
      </c>
      <c r="I818" s="478" t="s">
        <v>710</v>
      </c>
      <c r="J818" s="503">
        <f t="shared" si="24"/>
        <v>5999.9955999999993</v>
      </c>
    </row>
    <row r="819" spans="1:10" ht="20.25" customHeight="1">
      <c r="A819" s="471">
        <v>5151</v>
      </c>
      <c r="B819" s="481" t="s">
        <v>445</v>
      </c>
      <c r="C819" s="473">
        <v>356</v>
      </c>
      <c r="D819" s="482" t="s">
        <v>709</v>
      </c>
      <c r="E819" s="474">
        <v>41925</v>
      </c>
      <c r="F819" s="482" t="s">
        <v>468</v>
      </c>
      <c r="G819" s="476">
        <v>90</v>
      </c>
      <c r="H819" s="475" t="s">
        <v>694</v>
      </c>
      <c r="I819" s="478" t="s">
        <v>710</v>
      </c>
      <c r="J819" s="503">
        <f t="shared" si="24"/>
        <v>5999.9955999999993</v>
      </c>
    </row>
    <row r="820" spans="1:10" ht="20.25" customHeight="1">
      <c r="A820" s="471">
        <v>5151</v>
      </c>
      <c r="B820" s="481" t="s">
        <v>445</v>
      </c>
      <c r="C820" s="480">
        <v>357</v>
      </c>
      <c r="D820" s="482" t="s">
        <v>709</v>
      </c>
      <c r="E820" s="474">
        <v>41925</v>
      </c>
      <c r="F820" s="482" t="s">
        <v>468</v>
      </c>
      <c r="G820" s="476">
        <v>90</v>
      </c>
      <c r="H820" s="475" t="s">
        <v>694</v>
      </c>
      <c r="I820" s="478" t="s">
        <v>710</v>
      </c>
      <c r="J820" s="503">
        <f t="shared" si="24"/>
        <v>5999.9955999999993</v>
      </c>
    </row>
    <row r="821" spans="1:10" ht="20.25" customHeight="1">
      <c r="A821" s="471">
        <v>5151</v>
      </c>
      <c r="B821" s="481" t="s">
        <v>445</v>
      </c>
      <c r="C821" s="473">
        <v>358</v>
      </c>
      <c r="D821" s="482" t="s">
        <v>709</v>
      </c>
      <c r="E821" s="474">
        <v>41925</v>
      </c>
      <c r="F821" s="482" t="s">
        <v>468</v>
      </c>
      <c r="G821" s="476">
        <v>90</v>
      </c>
      <c r="H821" s="475" t="s">
        <v>694</v>
      </c>
      <c r="I821" s="478" t="s">
        <v>710</v>
      </c>
      <c r="J821" s="503">
        <f t="shared" si="24"/>
        <v>5999.9955999999993</v>
      </c>
    </row>
    <row r="822" spans="1:10" ht="20.25" customHeight="1">
      <c r="A822" s="471">
        <v>5151</v>
      </c>
      <c r="B822" s="481" t="s">
        <v>445</v>
      </c>
      <c r="C822" s="480">
        <v>359</v>
      </c>
      <c r="D822" s="482" t="s">
        <v>709</v>
      </c>
      <c r="E822" s="474">
        <v>41925</v>
      </c>
      <c r="F822" s="482" t="s">
        <v>468</v>
      </c>
      <c r="G822" s="476">
        <v>90</v>
      </c>
      <c r="H822" s="475" t="s">
        <v>694</v>
      </c>
      <c r="I822" s="478" t="s">
        <v>710</v>
      </c>
      <c r="J822" s="503">
        <f t="shared" si="24"/>
        <v>5999.9955999999993</v>
      </c>
    </row>
    <row r="823" spans="1:10" ht="20.25" customHeight="1">
      <c r="A823" s="471">
        <v>5151</v>
      </c>
      <c r="B823" s="481" t="s">
        <v>445</v>
      </c>
      <c r="C823" s="473">
        <v>360</v>
      </c>
      <c r="D823" s="482" t="s">
        <v>709</v>
      </c>
      <c r="E823" s="474">
        <v>41925</v>
      </c>
      <c r="F823" s="482" t="s">
        <v>468</v>
      </c>
      <c r="G823" s="476">
        <v>90</v>
      </c>
      <c r="H823" s="475" t="s">
        <v>694</v>
      </c>
      <c r="I823" s="478" t="s">
        <v>710</v>
      </c>
      <c r="J823" s="503">
        <f t="shared" si="24"/>
        <v>5999.9955999999993</v>
      </c>
    </row>
    <row r="824" spans="1:10" ht="20.25" customHeight="1">
      <c r="A824" s="471">
        <v>5151</v>
      </c>
      <c r="B824" s="481" t="s">
        <v>445</v>
      </c>
      <c r="C824" s="480">
        <v>361</v>
      </c>
      <c r="D824" s="482" t="s">
        <v>709</v>
      </c>
      <c r="E824" s="474">
        <v>41925</v>
      </c>
      <c r="F824" s="482" t="s">
        <v>468</v>
      </c>
      <c r="G824" s="476">
        <v>90</v>
      </c>
      <c r="H824" s="475" t="s">
        <v>694</v>
      </c>
      <c r="I824" s="478" t="s">
        <v>710</v>
      </c>
      <c r="J824" s="503">
        <f t="shared" si="24"/>
        <v>5999.9955999999993</v>
      </c>
    </row>
    <row r="825" spans="1:10" ht="20.25" customHeight="1">
      <c r="A825" s="471">
        <v>5151</v>
      </c>
      <c r="B825" s="481" t="s">
        <v>445</v>
      </c>
      <c r="C825" s="473">
        <v>362</v>
      </c>
      <c r="D825" s="482" t="s">
        <v>709</v>
      </c>
      <c r="E825" s="474">
        <v>41925</v>
      </c>
      <c r="F825" s="482" t="s">
        <v>468</v>
      </c>
      <c r="G825" s="476">
        <v>90</v>
      </c>
      <c r="H825" s="475" t="s">
        <v>694</v>
      </c>
      <c r="I825" s="478" t="s">
        <v>710</v>
      </c>
      <c r="J825" s="503">
        <f t="shared" si="24"/>
        <v>5999.9955999999993</v>
      </c>
    </row>
    <row r="826" spans="1:10" ht="20.25" customHeight="1">
      <c r="A826" s="471">
        <v>5151</v>
      </c>
      <c r="B826" s="481" t="s">
        <v>445</v>
      </c>
      <c r="C826" s="480">
        <v>363</v>
      </c>
      <c r="D826" s="482" t="s">
        <v>709</v>
      </c>
      <c r="E826" s="474">
        <v>41925</v>
      </c>
      <c r="F826" s="482" t="s">
        <v>468</v>
      </c>
      <c r="G826" s="476">
        <v>90</v>
      </c>
      <c r="H826" s="475" t="s">
        <v>694</v>
      </c>
      <c r="I826" s="478" t="s">
        <v>710</v>
      </c>
      <c r="J826" s="503">
        <f t="shared" si="24"/>
        <v>5999.9955999999993</v>
      </c>
    </row>
    <row r="827" spans="1:10" ht="20.25" customHeight="1">
      <c r="A827" s="471">
        <v>5151</v>
      </c>
      <c r="B827" s="481" t="s">
        <v>445</v>
      </c>
      <c r="C827" s="473">
        <v>364</v>
      </c>
      <c r="D827" s="482" t="s">
        <v>709</v>
      </c>
      <c r="E827" s="474">
        <v>41925</v>
      </c>
      <c r="F827" s="482" t="s">
        <v>468</v>
      </c>
      <c r="G827" s="476">
        <v>90</v>
      </c>
      <c r="H827" s="475" t="s">
        <v>694</v>
      </c>
      <c r="I827" s="478" t="s">
        <v>710</v>
      </c>
      <c r="J827" s="503">
        <f t="shared" si="24"/>
        <v>5999.9955999999993</v>
      </c>
    </row>
    <row r="828" spans="1:10" ht="20.25" customHeight="1">
      <c r="A828" s="471">
        <v>5151</v>
      </c>
      <c r="B828" s="481" t="s">
        <v>445</v>
      </c>
      <c r="C828" s="480">
        <v>365</v>
      </c>
      <c r="D828" s="482" t="s">
        <v>709</v>
      </c>
      <c r="E828" s="474">
        <v>41925</v>
      </c>
      <c r="F828" s="482" t="s">
        <v>468</v>
      </c>
      <c r="G828" s="476">
        <v>90</v>
      </c>
      <c r="H828" s="475" t="s">
        <v>694</v>
      </c>
      <c r="I828" s="478" t="s">
        <v>710</v>
      </c>
      <c r="J828" s="503">
        <f t="shared" si="24"/>
        <v>5999.9955999999993</v>
      </c>
    </row>
    <row r="829" spans="1:10" ht="20.25" customHeight="1">
      <c r="A829" s="471">
        <v>5151</v>
      </c>
      <c r="B829" s="481" t="s">
        <v>445</v>
      </c>
      <c r="C829" s="473">
        <v>366</v>
      </c>
      <c r="D829" s="482" t="s">
        <v>709</v>
      </c>
      <c r="E829" s="474">
        <v>41925</v>
      </c>
      <c r="F829" s="482" t="s">
        <v>468</v>
      </c>
      <c r="G829" s="476">
        <v>90</v>
      </c>
      <c r="H829" s="475" t="s">
        <v>694</v>
      </c>
      <c r="I829" s="478" t="s">
        <v>710</v>
      </c>
      <c r="J829" s="503">
        <f t="shared" si="24"/>
        <v>5999.9955999999993</v>
      </c>
    </row>
    <row r="830" spans="1:10" ht="20.25" customHeight="1">
      <c r="A830" s="471">
        <v>5151</v>
      </c>
      <c r="B830" s="481" t="s">
        <v>445</v>
      </c>
      <c r="C830" s="480">
        <v>367</v>
      </c>
      <c r="D830" s="482" t="s">
        <v>709</v>
      </c>
      <c r="E830" s="474">
        <v>41925</v>
      </c>
      <c r="F830" s="482" t="s">
        <v>468</v>
      </c>
      <c r="G830" s="476">
        <v>90</v>
      </c>
      <c r="H830" s="475" t="s">
        <v>694</v>
      </c>
      <c r="I830" s="478" t="s">
        <v>710</v>
      </c>
      <c r="J830" s="503">
        <f t="shared" si="24"/>
        <v>5999.9955999999993</v>
      </c>
    </row>
    <row r="831" spans="1:10" ht="20.25" customHeight="1">
      <c r="A831" s="471">
        <v>5151</v>
      </c>
      <c r="B831" s="481" t="s">
        <v>445</v>
      </c>
      <c r="C831" s="473">
        <v>368</v>
      </c>
      <c r="D831" s="482" t="s">
        <v>709</v>
      </c>
      <c r="E831" s="474">
        <v>41925</v>
      </c>
      <c r="F831" s="482" t="s">
        <v>468</v>
      </c>
      <c r="G831" s="476">
        <v>90</v>
      </c>
      <c r="H831" s="475" t="s">
        <v>694</v>
      </c>
      <c r="I831" s="478" t="s">
        <v>710</v>
      </c>
      <c r="J831" s="503">
        <f t="shared" si="24"/>
        <v>5999.9955999999993</v>
      </c>
    </row>
    <row r="832" spans="1:10" ht="20.25" customHeight="1">
      <c r="A832" s="471">
        <v>5151</v>
      </c>
      <c r="B832" s="481" t="s">
        <v>445</v>
      </c>
      <c r="C832" s="473">
        <v>369</v>
      </c>
      <c r="D832" s="483">
        <v>33619</v>
      </c>
      <c r="E832" s="474">
        <v>41929</v>
      </c>
      <c r="F832" s="482" t="s">
        <v>468</v>
      </c>
      <c r="G832" s="476">
        <v>90</v>
      </c>
      <c r="H832" s="475" t="s">
        <v>694</v>
      </c>
      <c r="I832" s="478" t="s">
        <v>707</v>
      </c>
      <c r="J832" s="503">
        <v>26664.92</v>
      </c>
    </row>
    <row r="833" spans="1:10" ht="20.25" customHeight="1">
      <c r="A833" s="471">
        <v>5151</v>
      </c>
      <c r="B833" s="481" t="s">
        <v>445</v>
      </c>
      <c r="C833" s="480">
        <v>370</v>
      </c>
      <c r="D833" s="483">
        <v>33619</v>
      </c>
      <c r="E833" s="474">
        <v>41929</v>
      </c>
      <c r="F833" s="482" t="s">
        <v>468</v>
      </c>
      <c r="G833" s="476">
        <v>90</v>
      </c>
      <c r="H833" s="475" t="s">
        <v>694</v>
      </c>
      <c r="I833" s="478" t="s">
        <v>707</v>
      </c>
      <c r="J833" s="503">
        <v>26664.92</v>
      </c>
    </row>
    <row r="834" spans="1:10" ht="20.25" customHeight="1">
      <c r="A834" s="471">
        <v>5151</v>
      </c>
      <c r="B834" s="481" t="s">
        <v>445</v>
      </c>
      <c r="C834" s="473">
        <v>371</v>
      </c>
      <c r="D834" s="483">
        <v>33619</v>
      </c>
      <c r="E834" s="474">
        <v>41929</v>
      </c>
      <c r="F834" s="482" t="s">
        <v>468</v>
      </c>
      <c r="G834" s="476">
        <v>90</v>
      </c>
      <c r="H834" s="475" t="s">
        <v>694</v>
      </c>
      <c r="I834" s="478" t="s">
        <v>707</v>
      </c>
      <c r="J834" s="503">
        <v>26664.92</v>
      </c>
    </row>
    <row r="835" spans="1:10" ht="20.25" customHeight="1">
      <c r="A835" s="471">
        <v>5151</v>
      </c>
      <c r="B835" s="481" t="s">
        <v>445</v>
      </c>
      <c r="C835" s="473">
        <v>372</v>
      </c>
      <c r="D835" s="483">
        <v>33619</v>
      </c>
      <c r="E835" s="474">
        <v>41929</v>
      </c>
      <c r="F835" s="482" t="s">
        <v>468</v>
      </c>
      <c r="G835" s="476">
        <v>90</v>
      </c>
      <c r="H835" s="475" t="s">
        <v>694</v>
      </c>
      <c r="I835" s="478" t="s">
        <v>707</v>
      </c>
      <c r="J835" s="503">
        <v>26664.92</v>
      </c>
    </row>
    <row r="836" spans="1:10" ht="20.25" customHeight="1">
      <c r="A836" s="471">
        <v>5151</v>
      </c>
      <c r="B836" s="481" t="s">
        <v>445</v>
      </c>
      <c r="C836" s="480">
        <v>373</v>
      </c>
      <c r="D836" s="483">
        <v>33619</v>
      </c>
      <c r="E836" s="474">
        <v>41929</v>
      </c>
      <c r="F836" s="482" t="s">
        <v>468</v>
      </c>
      <c r="G836" s="476">
        <v>90</v>
      </c>
      <c r="H836" s="475" t="s">
        <v>694</v>
      </c>
      <c r="I836" s="478" t="s">
        <v>707</v>
      </c>
      <c r="J836" s="503">
        <v>26664.92</v>
      </c>
    </row>
    <row r="837" spans="1:10" ht="20.25" customHeight="1">
      <c r="A837" s="471">
        <v>5151</v>
      </c>
      <c r="B837" s="481" t="s">
        <v>445</v>
      </c>
      <c r="C837" s="473">
        <v>374</v>
      </c>
      <c r="D837" s="483">
        <v>33619</v>
      </c>
      <c r="E837" s="474">
        <v>41929</v>
      </c>
      <c r="F837" s="482" t="s">
        <v>468</v>
      </c>
      <c r="G837" s="476">
        <v>90</v>
      </c>
      <c r="H837" s="475" t="s">
        <v>694</v>
      </c>
      <c r="I837" s="482" t="s">
        <v>711</v>
      </c>
      <c r="J837" s="503">
        <f t="shared" ref="J837:J848" si="25">9948*1.16</f>
        <v>11539.679999999998</v>
      </c>
    </row>
    <row r="838" spans="1:10" ht="20.25" customHeight="1">
      <c r="A838" s="471">
        <v>5151</v>
      </c>
      <c r="B838" s="481" t="s">
        <v>445</v>
      </c>
      <c r="C838" s="473">
        <v>375</v>
      </c>
      <c r="D838" s="483">
        <v>33619</v>
      </c>
      <c r="E838" s="474">
        <v>41929</v>
      </c>
      <c r="F838" s="482" t="s">
        <v>468</v>
      </c>
      <c r="G838" s="476">
        <v>90</v>
      </c>
      <c r="H838" s="475" t="s">
        <v>694</v>
      </c>
      <c r="I838" s="482" t="s">
        <v>711</v>
      </c>
      <c r="J838" s="503">
        <f t="shared" si="25"/>
        <v>11539.679999999998</v>
      </c>
    </row>
    <row r="839" spans="1:10" ht="20.25" customHeight="1">
      <c r="A839" s="471">
        <v>5151</v>
      </c>
      <c r="B839" s="481" t="s">
        <v>445</v>
      </c>
      <c r="C839" s="480">
        <v>376</v>
      </c>
      <c r="D839" s="483">
        <v>33619</v>
      </c>
      <c r="E839" s="474">
        <v>41929</v>
      </c>
      <c r="F839" s="482" t="s">
        <v>468</v>
      </c>
      <c r="G839" s="476">
        <v>90</v>
      </c>
      <c r="H839" s="475" t="s">
        <v>694</v>
      </c>
      <c r="I839" s="482" t="s">
        <v>711</v>
      </c>
      <c r="J839" s="503">
        <f t="shared" si="25"/>
        <v>11539.679999999998</v>
      </c>
    </row>
    <row r="840" spans="1:10" ht="20.25" customHeight="1">
      <c r="A840" s="471">
        <v>5151</v>
      </c>
      <c r="B840" s="481" t="s">
        <v>445</v>
      </c>
      <c r="C840" s="473">
        <v>377</v>
      </c>
      <c r="D840" s="483">
        <v>33619</v>
      </c>
      <c r="E840" s="474">
        <v>41929</v>
      </c>
      <c r="F840" s="482" t="s">
        <v>468</v>
      </c>
      <c r="G840" s="476">
        <v>90</v>
      </c>
      <c r="H840" s="475" t="s">
        <v>694</v>
      </c>
      <c r="I840" s="482" t="s">
        <v>711</v>
      </c>
      <c r="J840" s="503">
        <f t="shared" si="25"/>
        <v>11539.679999999998</v>
      </c>
    </row>
    <row r="841" spans="1:10" ht="20.25" customHeight="1">
      <c r="A841" s="471">
        <v>5151</v>
      </c>
      <c r="B841" s="481" t="s">
        <v>445</v>
      </c>
      <c r="C841" s="473">
        <v>378</v>
      </c>
      <c r="D841" s="483">
        <v>33619</v>
      </c>
      <c r="E841" s="474">
        <v>41929</v>
      </c>
      <c r="F841" s="482" t="s">
        <v>468</v>
      </c>
      <c r="G841" s="476">
        <v>90</v>
      </c>
      <c r="H841" s="475" t="s">
        <v>694</v>
      </c>
      <c r="I841" s="482" t="s">
        <v>711</v>
      </c>
      <c r="J841" s="503">
        <f t="shared" si="25"/>
        <v>11539.679999999998</v>
      </c>
    </row>
    <row r="842" spans="1:10" ht="20.25" customHeight="1">
      <c r="A842" s="471">
        <v>5151</v>
      </c>
      <c r="B842" s="481" t="s">
        <v>445</v>
      </c>
      <c r="C842" s="480">
        <v>379</v>
      </c>
      <c r="D842" s="483">
        <v>33619</v>
      </c>
      <c r="E842" s="474">
        <v>41929</v>
      </c>
      <c r="F842" s="482" t="s">
        <v>468</v>
      </c>
      <c r="G842" s="476">
        <v>90</v>
      </c>
      <c r="H842" s="475" t="s">
        <v>694</v>
      </c>
      <c r="I842" s="482" t="s">
        <v>711</v>
      </c>
      <c r="J842" s="503">
        <f t="shared" si="25"/>
        <v>11539.679999999998</v>
      </c>
    </row>
    <row r="843" spans="1:10" ht="20.25" customHeight="1">
      <c r="A843" s="471">
        <v>5151</v>
      </c>
      <c r="B843" s="481" t="s">
        <v>445</v>
      </c>
      <c r="C843" s="473">
        <v>380</v>
      </c>
      <c r="D843" s="483">
        <v>33619</v>
      </c>
      <c r="E843" s="474">
        <v>41929</v>
      </c>
      <c r="F843" s="482" t="s">
        <v>468</v>
      </c>
      <c r="G843" s="476">
        <v>90</v>
      </c>
      <c r="H843" s="475" t="s">
        <v>694</v>
      </c>
      <c r="I843" s="482" t="s">
        <v>711</v>
      </c>
      <c r="J843" s="503">
        <f t="shared" si="25"/>
        <v>11539.679999999998</v>
      </c>
    </row>
    <row r="844" spans="1:10" ht="20.25" customHeight="1">
      <c r="A844" s="471">
        <v>5151</v>
      </c>
      <c r="B844" s="481" t="s">
        <v>445</v>
      </c>
      <c r="C844" s="473">
        <v>381</v>
      </c>
      <c r="D844" s="483">
        <v>33619</v>
      </c>
      <c r="E844" s="474">
        <v>41929</v>
      </c>
      <c r="F844" s="482" t="s">
        <v>468</v>
      </c>
      <c r="G844" s="476">
        <v>90</v>
      </c>
      <c r="H844" s="475" t="s">
        <v>694</v>
      </c>
      <c r="I844" s="482" t="s">
        <v>711</v>
      </c>
      <c r="J844" s="503">
        <f t="shared" si="25"/>
        <v>11539.679999999998</v>
      </c>
    </row>
    <row r="845" spans="1:10" ht="20.25" customHeight="1">
      <c r="A845" s="471">
        <v>5151</v>
      </c>
      <c r="B845" s="481" t="s">
        <v>445</v>
      </c>
      <c r="C845" s="480">
        <v>382</v>
      </c>
      <c r="D845" s="483">
        <v>33619</v>
      </c>
      <c r="E845" s="474">
        <v>41929</v>
      </c>
      <c r="F845" s="482" t="s">
        <v>468</v>
      </c>
      <c r="G845" s="476">
        <v>90</v>
      </c>
      <c r="H845" s="475" t="s">
        <v>694</v>
      </c>
      <c r="I845" s="482" t="s">
        <v>711</v>
      </c>
      <c r="J845" s="503">
        <f t="shared" si="25"/>
        <v>11539.679999999998</v>
      </c>
    </row>
    <row r="846" spans="1:10" ht="20.25" customHeight="1">
      <c r="A846" s="471">
        <v>5151</v>
      </c>
      <c r="B846" s="481" t="s">
        <v>445</v>
      </c>
      <c r="C846" s="473">
        <v>383</v>
      </c>
      <c r="D846" s="483">
        <v>33619</v>
      </c>
      <c r="E846" s="474">
        <v>41929</v>
      </c>
      <c r="F846" s="482" t="s">
        <v>468</v>
      </c>
      <c r="G846" s="476">
        <v>90</v>
      </c>
      <c r="H846" s="475" t="s">
        <v>694</v>
      </c>
      <c r="I846" s="482" t="s">
        <v>711</v>
      </c>
      <c r="J846" s="503">
        <f t="shared" si="25"/>
        <v>11539.679999999998</v>
      </c>
    </row>
    <row r="847" spans="1:10" ht="20.25" customHeight="1">
      <c r="A847" s="471">
        <v>5151</v>
      </c>
      <c r="B847" s="481" t="s">
        <v>445</v>
      </c>
      <c r="C847" s="473">
        <v>384</v>
      </c>
      <c r="D847" s="483">
        <v>33619</v>
      </c>
      <c r="E847" s="474">
        <v>41929</v>
      </c>
      <c r="F847" s="482" t="s">
        <v>468</v>
      </c>
      <c r="G847" s="476">
        <v>90</v>
      </c>
      <c r="H847" s="475" t="s">
        <v>694</v>
      </c>
      <c r="I847" s="482" t="s">
        <v>711</v>
      </c>
      <c r="J847" s="503">
        <f t="shared" si="25"/>
        <v>11539.679999999998</v>
      </c>
    </row>
    <row r="848" spans="1:10" ht="20.25" customHeight="1">
      <c r="A848" s="471">
        <v>5151</v>
      </c>
      <c r="B848" s="481" t="s">
        <v>445</v>
      </c>
      <c r="C848" s="480">
        <v>385</v>
      </c>
      <c r="D848" s="483">
        <v>33619</v>
      </c>
      <c r="E848" s="474">
        <v>41929</v>
      </c>
      <c r="F848" s="482" t="s">
        <v>468</v>
      </c>
      <c r="G848" s="476">
        <v>90</v>
      </c>
      <c r="H848" s="475" t="s">
        <v>694</v>
      </c>
      <c r="I848" s="482" t="s">
        <v>711</v>
      </c>
      <c r="J848" s="503">
        <f t="shared" si="25"/>
        <v>11539.679999999998</v>
      </c>
    </row>
    <row r="849" spans="1:10" ht="20.25" customHeight="1">
      <c r="A849" s="471">
        <v>5151</v>
      </c>
      <c r="B849" s="481" t="s">
        <v>445</v>
      </c>
      <c r="C849" s="473">
        <v>386</v>
      </c>
      <c r="D849" s="483">
        <v>33619</v>
      </c>
      <c r="E849" s="474">
        <v>41929</v>
      </c>
      <c r="F849" s="482" t="s">
        <v>468</v>
      </c>
      <c r="G849" s="476">
        <v>90</v>
      </c>
      <c r="H849" s="475" t="s">
        <v>694</v>
      </c>
      <c r="I849" s="478" t="s">
        <v>708</v>
      </c>
      <c r="J849" s="503">
        <f t="shared" ref="J849:J854" si="26">6095*1.16</f>
        <v>7070.2</v>
      </c>
    </row>
    <row r="850" spans="1:10" ht="20.25" customHeight="1">
      <c r="A850" s="471">
        <v>5151</v>
      </c>
      <c r="B850" s="481" t="s">
        <v>445</v>
      </c>
      <c r="C850" s="473">
        <v>387</v>
      </c>
      <c r="D850" s="483">
        <v>33619</v>
      </c>
      <c r="E850" s="474">
        <v>41929</v>
      </c>
      <c r="F850" s="482" t="s">
        <v>468</v>
      </c>
      <c r="G850" s="476">
        <v>90</v>
      </c>
      <c r="H850" s="475" t="s">
        <v>694</v>
      </c>
      <c r="I850" s="478" t="s">
        <v>708</v>
      </c>
      <c r="J850" s="503">
        <f t="shared" si="26"/>
        <v>7070.2</v>
      </c>
    </row>
    <row r="851" spans="1:10" ht="20.25" customHeight="1">
      <c r="A851" s="471">
        <v>5151</v>
      </c>
      <c r="B851" s="481" t="s">
        <v>445</v>
      </c>
      <c r="C851" s="480">
        <v>388</v>
      </c>
      <c r="D851" s="483">
        <v>33619</v>
      </c>
      <c r="E851" s="474">
        <v>41929</v>
      </c>
      <c r="F851" s="482" t="s">
        <v>468</v>
      </c>
      <c r="G851" s="476">
        <v>90</v>
      </c>
      <c r="H851" s="475" t="s">
        <v>694</v>
      </c>
      <c r="I851" s="478" t="s">
        <v>708</v>
      </c>
      <c r="J851" s="503">
        <f t="shared" si="26"/>
        <v>7070.2</v>
      </c>
    </row>
    <row r="852" spans="1:10" ht="20.25" customHeight="1">
      <c r="A852" s="471">
        <v>5151</v>
      </c>
      <c r="B852" s="481" t="s">
        <v>445</v>
      </c>
      <c r="C852" s="473">
        <v>389</v>
      </c>
      <c r="D852" s="483">
        <v>33619</v>
      </c>
      <c r="E852" s="474">
        <v>41929</v>
      </c>
      <c r="F852" s="482" t="s">
        <v>468</v>
      </c>
      <c r="G852" s="476">
        <v>90</v>
      </c>
      <c r="H852" s="475" t="s">
        <v>694</v>
      </c>
      <c r="I852" s="478" t="s">
        <v>708</v>
      </c>
      <c r="J852" s="503">
        <f t="shared" si="26"/>
        <v>7070.2</v>
      </c>
    </row>
    <row r="853" spans="1:10" ht="20.25" customHeight="1">
      <c r="A853" s="471">
        <v>5151</v>
      </c>
      <c r="B853" s="481" t="s">
        <v>445</v>
      </c>
      <c r="C853" s="473">
        <v>390</v>
      </c>
      <c r="D853" s="483">
        <v>33619</v>
      </c>
      <c r="E853" s="474">
        <v>41929</v>
      </c>
      <c r="F853" s="482" t="s">
        <v>468</v>
      </c>
      <c r="G853" s="476">
        <v>90</v>
      </c>
      <c r="H853" s="475" t="s">
        <v>694</v>
      </c>
      <c r="I853" s="478" t="s">
        <v>708</v>
      </c>
      <c r="J853" s="503">
        <f t="shared" si="26"/>
        <v>7070.2</v>
      </c>
    </row>
    <row r="854" spans="1:10" ht="20.25" customHeight="1">
      <c r="A854" s="471">
        <v>5151</v>
      </c>
      <c r="B854" s="481" t="s">
        <v>445</v>
      </c>
      <c r="C854" s="480">
        <v>391</v>
      </c>
      <c r="D854" s="483">
        <v>33619</v>
      </c>
      <c r="E854" s="474">
        <v>41929</v>
      </c>
      <c r="F854" s="482" t="s">
        <v>468</v>
      </c>
      <c r="G854" s="476">
        <v>90</v>
      </c>
      <c r="H854" s="475" t="s">
        <v>694</v>
      </c>
      <c r="I854" s="478" t="s">
        <v>708</v>
      </c>
      <c r="J854" s="503">
        <f t="shared" si="26"/>
        <v>7070.2</v>
      </c>
    </row>
    <row r="855" spans="1:10" ht="20.25" customHeight="1">
      <c r="A855" s="471">
        <v>5151</v>
      </c>
      <c r="B855" s="481" t="s">
        <v>445</v>
      </c>
      <c r="C855" s="473">
        <v>392</v>
      </c>
      <c r="D855" s="483">
        <v>4749</v>
      </c>
      <c r="E855" s="474">
        <v>42366</v>
      </c>
      <c r="F855" s="482" t="s">
        <v>468</v>
      </c>
      <c r="G855" s="476">
        <v>90</v>
      </c>
      <c r="H855" s="475" t="s">
        <v>694</v>
      </c>
      <c r="I855" s="478" t="s">
        <v>712</v>
      </c>
      <c r="J855" s="503">
        <f t="shared" ref="J855:J864" si="27">12540*1.16</f>
        <v>14546.4</v>
      </c>
    </row>
    <row r="856" spans="1:10" ht="20.25" customHeight="1">
      <c r="A856" s="471">
        <v>5151</v>
      </c>
      <c r="B856" s="481" t="s">
        <v>445</v>
      </c>
      <c r="C856" s="473">
        <v>393</v>
      </c>
      <c r="D856" s="483">
        <v>4749</v>
      </c>
      <c r="E856" s="474">
        <v>42366</v>
      </c>
      <c r="F856" s="482" t="s">
        <v>468</v>
      </c>
      <c r="G856" s="476">
        <v>90</v>
      </c>
      <c r="H856" s="475" t="s">
        <v>694</v>
      </c>
      <c r="I856" s="478" t="s">
        <v>712</v>
      </c>
      <c r="J856" s="503">
        <f t="shared" si="27"/>
        <v>14546.4</v>
      </c>
    </row>
    <row r="857" spans="1:10" ht="20.25" customHeight="1">
      <c r="A857" s="471">
        <v>5151</v>
      </c>
      <c r="B857" s="481" t="s">
        <v>445</v>
      </c>
      <c r="C857" s="480">
        <v>394</v>
      </c>
      <c r="D857" s="483">
        <v>4749</v>
      </c>
      <c r="E857" s="474">
        <v>42366</v>
      </c>
      <c r="F857" s="482" t="s">
        <v>468</v>
      </c>
      <c r="G857" s="476">
        <v>90</v>
      </c>
      <c r="H857" s="475" t="s">
        <v>694</v>
      </c>
      <c r="I857" s="478" t="s">
        <v>712</v>
      </c>
      <c r="J857" s="503">
        <f t="shared" si="27"/>
        <v>14546.4</v>
      </c>
    </row>
    <row r="858" spans="1:10" ht="20.25" customHeight="1">
      <c r="A858" s="471">
        <v>5151</v>
      </c>
      <c r="B858" s="481" t="s">
        <v>445</v>
      </c>
      <c r="C858" s="473">
        <v>395</v>
      </c>
      <c r="D858" s="483">
        <v>4749</v>
      </c>
      <c r="E858" s="474">
        <v>42366</v>
      </c>
      <c r="F858" s="482" t="s">
        <v>468</v>
      </c>
      <c r="G858" s="476">
        <v>90</v>
      </c>
      <c r="H858" s="475" t="s">
        <v>694</v>
      </c>
      <c r="I858" s="478" t="s">
        <v>712</v>
      </c>
      <c r="J858" s="503">
        <f t="shared" si="27"/>
        <v>14546.4</v>
      </c>
    </row>
    <row r="859" spans="1:10" ht="20.25" customHeight="1">
      <c r="A859" s="471">
        <v>5151</v>
      </c>
      <c r="B859" s="481" t="s">
        <v>445</v>
      </c>
      <c r="C859" s="473">
        <v>396</v>
      </c>
      <c r="D859" s="483">
        <v>4749</v>
      </c>
      <c r="E859" s="474">
        <v>42366</v>
      </c>
      <c r="F859" s="482" t="s">
        <v>468</v>
      </c>
      <c r="G859" s="476">
        <v>90</v>
      </c>
      <c r="H859" s="475" t="s">
        <v>694</v>
      </c>
      <c r="I859" s="478" t="s">
        <v>712</v>
      </c>
      <c r="J859" s="503">
        <f t="shared" si="27"/>
        <v>14546.4</v>
      </c>
    </row>
    <row r="860" spans="1:10" ht="20.25" customHeight="1">
      <c r="A860" s="471">
        <v>5151</v>
      </c>
      <c r="B860" s="481" t="s">
        <v>445</v>
      </c>
      <c r="C860" s="480">
        <v>397</v>
      </c>
      <c r="D860" s="483">
        <v>4749</v>
      </c>
      <c r="E860" s="474">
        <v>42366</v>
      </c>
      <c r="F860" s="482" t="s">
        <v>468</v>
      </c>
      <c r="G860" s="476">
        <v>90</v>
      </c>
      <c r="H860" s="475" t="s">
        <v>694</v>
      </c>
      <c r="I860" s="478" t="s">
        <v>712</v>
      </c>
      <c r="J860" s="503">
        <f t="shared" si="27"/>
        <v>14546.4</v>
      </c>
    </row>
    <row r="861" spans="1:10" ht="20.25" customHeight="1">
      <c r="A861" s="471">
        <v>5151</v>
      </c>
      <c r="B861" s="481" t="s">
        <v>445</v>
      </c>
      <c r="C861" s="473">
        <v>398</v>
      </c>
      <c r="D861" s="483">
        <v>4749</v>
      </c>
      <c r="E861" s="474">
        <v>42366</v>
      </c>
      <c r="F861" s="482" t="s">
        <v>468</v>
      </c>
      <c r="G861" s="476">
        <v>90</v>
      </c>
      <c r="H861" s="475" t="s">
        <v>694</v>
      </c>
      <c r="I861" s="478" t="s">
        <v>712</v>
      </c>
      <c r="J861" s="503">
        <f t="shared" si="27"/>
        <v>14546.4</v>
      </c>
    </row>
    <row r="862" spans="1:10" ht="20.25" customHeight="1">
      <c r="A862" s="471">
        <v>5151</v>
      </c>
      <c r="B862" s="481" t="s">
        <v>445</v>
      </c>
      <c r="C862" s="473">
        <v>399</v>
      </c>
      <c r="D862" s="483">
        <v>4749</v>
      </c>
      <c r="E862" s="474">
        <v>42366</v>
      </c>
      <c r="F862" s="482" t="s">
        <v>468</v>
      </c>
      <c r="G862" s="476">
        <v>90</v>
      </c>
      <c r="H862" s="475" t="s">
        <v>694</v>
      </c>
      <c r="I862" s="478" t="s">
        <v>712</v>
      </c>
      <c r="J862" s="503">
        <f t="shared" si="27"/>
        <v>14546.4</v>
      </c>
    </row>
    <row r="863" spans="1:10" ht="20.25" customHeight="1">
      <c r="A863" s="471">
        <v>5151</v>
      </c>
      <c r="B863" s="481" t="s">
        <v>445</v>
      </c>
      <c r="C863" s="480">
        <v>400</v>
      </c>
      <c r="D863" s="483">
        <v>4749</v>
      </c>
      <c r="E863" s="474">
        <v>42366</v>
      </c>
      <c r="F863" s="482" t="s">
        <v>468</v>
      </c>
      <c r="G863" s="476">
        <v>90</v>
      </c>
      <c r="H863" s="475" t="s">
        <v>694</v>
      </c>
      <c r="I863" s="478" t="s">
        <v>712</v>
      </c>
      <c r="J863" s="503">
        <f t="shared" si="27"/>
        <v>14546.4</v>
      </c>
    </row>
    <row r="864" spans="1:10" ht="20.25" customHeight="1">
      <c r="A864" s="471">
        <v>5151</v>
      </c>
      <c r="B864" s="481" t="s">
        <v>445</v>
      </c>
      <c r="C864" s="473">
        <v>401</v>
      </c>
      <c r="D864" s="483">
        <v>4749</v>
      </c>
      <c r="E864" s="474">
        <v>42366</v>
      </c>
      <c r="F864" s="482" t="s">
        <v>468</v>
      </c>
      <c r="G864" s="476">
        <v>90</v>
      </c>
      <c r="H864" s="475" t="s">
        <v>694</v>
      </c>
      <c r="I864" s="478" t="s">
        <v>712</v>
      </c>
      <c r="J864" s="503">
        <f t="shared" si="27"/>
        <v>14546.4</v>
      </c>
    </row>
    <row r="865" spans="1:10" ht="20.25" customHeight="1">
      <c r="A865" s="471">
        <v>5151</v>
      </c>
      <c r="B865" s="481" t="s">
        <v>445</v>
      </c>
      <c r="C865" s="473">
        <v>402</v>
      </c>
      <c r="D865" s="483">
        <v>21950</v>
      </c>
      <c r="E865" s="474">
        <v>42367</v>
      </c>
      <c r="F865" s="482" t="s">
        <v>468</v>
      </c>
      <c r="G865" s="476">
        <v>90</v>
      </c>
      <c r="H865" s="475" t="s">
        <v>694</v>
      </c>
      <c r="I865" s="478" t="s">
        <v>713</v>
      </c>
      <c r="J865" s="503">
        <f>45500*1.16</f>
        <v>52780</v>
      </c>
    </row>
    <row r="866" spans="1:10" ht="20.25" customHeight="1">
      <c r="A866" s="471">
        <v>5151</v>
      </c>
      <c r="B866" s="481" t="s">
        <v>445</v>
      </c>
      <c r="C866" s="480">
        <v>403</v>
      </c>
      <c r="D866" s="483">
        <v>21950</v>
      </c>
      <c r="E866" s="474">
        <v>42367</v>
      </c>
      <c r="F866" s="482" t="s">
        <v>468</v>
      </c>
      <c r="G866" s="476">
        <v>90</v>
      </c>
      <c r="H866" s="475" t="s">
        <v>694</v>
      </c>
      <c r="I866" s="478" t="s">
        <v>714</v>
      </c>
      <c r="J866" s="503">
        <f>8500*1.16</f>
        <v>9860</v>
      </c>
    </row>
    <row r="867" spans="1:10" ht="20.25" customHeight="1">
      <c r="A867" s="471">
        <v>5191</v>
      </c>
      <c r="B867" s="474" t="s">
        <v>445</v>
      </c>
      <c r="C867" s="473">
        <v>20</v>
      </c>
      <c r="D867" s="471">
        <v>5752</v>
      </c>
      <c r="E867" s="474">
        <v>39050</v>
      </c>
      <c r="F867" s="475" t="s">
        <v>446</v>
      </c>
      <c r="G867" s="476">
        <v>49</v>
      </c>
      <c r="H867" s="475" t="s">
        <v>715</v>
      </c>
      <c r="I867" s="478" t="s">
        <v>716</v>
      </c>
      <c r="J867" s="496">
        <v>7751.68</v>
      </c>
    </row>
    <row r="868" spans="1:10" ht="20.25" customHeight="1">
      <c r="A868" s="471">
        <v>5191</v>
      </c>
      <c r="B868" s="474" t="s">
        <v>445</v>
      </c>
      <c r="C868" s="473">
        <v>21</v>
      </c>
      <c r="D868" s="471">
        <v>5752</v>
      </c>
      <c r="E868" s="474">
        <v>39050</v>
      </c>
      <c r="F868" s="475" t="s">
        <v>446</v>
      </c>
      <c r="G868" s="476">
        <v>49</v>
      </c>
      <c r="H868" s="475" t="s">
        <v>715</v>
      </c>
      <c r="I868" s="478" t="s">
        <v>716</v>
      </c>
      <c r="J868" s="496">
        <v>0</v>
      </c>
    </row>
    <row r="869" spans="1:10" ht="20.25" customHeight="1">
      <c r="A869" s="471">
        <v>5191</v>
      </c>
      <c r="B869" s="474" t="s">
        <v>445</v>
      </c>
      <c r="C869" s="473">
        <v>22</v>
      </c>
      <c r="D869" s="471">
        <v>5752</v>
      </c>
      <c r="E869" s="474">
        <v>39050</v>
      </c>
      <c r="F869" s="475" t="s">
        <v>446</v>
      </c>
      <c r="G869" s="476">
        <v>49</v>
      </c>
      <c r="H869" s="475" t="s">
        <v>715</v>
      </c>
      <c r="I869" s="478" t="s">
        <v>716</v>
      </c>
      <c r="J869" s="496">
        <v>0</v>
      </c>
    </row>
    <row r="870" spans="1:10" ht="20.25" customHeight="1">
      <c r="A870" s="471">
        <v>5191</v>
      </c>
      <c r="B870" s="474" t="s">
        <v>445</v>
      </c>
      <c r="C870" s="473">
        <v>23</v>
      </c>
      <c r="D870" s="471">
        <v>5752</v>
      </c>
      <c r="E870" s="474">
        <v>39050</v>
      </c>
      <c r="F870" s="475" t="s">
        <v>446</v>
      </c>
      <c r="G870" s="476">
        <v>49</v>
      </c>
      <c r="H870" s="475" t="s">
        <v>715</v>
      </c>
      <c r="I870" s="478" t="s">
        <v>716</v>
      </c>
      <c r="J870" s="496">
        <v>0</v>
      </c>
    </row>
    <row r="871" spans="1:10" ht="20.25" customHeight="1">
      <c r="A871" s="471">
        <v>5191</v>
      </c>
      <c r="B871" s="474" t="s">
        <v>445</v>
      </c>
      <c r="C871" s="473">
        <v>24</v>
      </c>
      <c r="D871" s="471">
        <v>5752</v>
      </c>
      <c r="E871" s="474">
        <v>39050</v>
      </c>
      <c r="F871" s="475" t="s">
        <v>446</v>
      </c>
      <c r="G871" s="476">
        <v>49</v>
      </c>
      <c r="H871" s="475" t="s">
        <v>715</v>
      </c>
      <c r="I871" s="478" t="s">
        <v>716</v>
      </c>
      <c r="J871" s="496">
        <v>0</v>
      </c>
    </row>
    <row r="872" spans="1:10" ht="20.25" customHeight="1">
      <c r="A872" s="471">
        <v>5191</v>
      </c>
      <c r="B872" s="474" t="s">
        <v>445</v>
      </c>
      <c r="C872" s="473">
        <v>25</v>
      </c>
      <c r="D872" s="471">
        <v>5752</v>
      </c>
      <c r="E872" s="474">
        <v>39050</v>
      </c>
      <c r="F872" s="475" t="s">
        <v>446</v>
      </c>
      <c r="G872" s="476">
        <v>49</v>
      </c>
      <c r="H872" s="475" t="s">
        <v>715</v>
      </c>
      <c r="I872" s="478" t="s">
        <v>716</v>
      </c>
      <c r="J872" s="496">
        <v>0</v>
      </c>
    </row>
    <row r="873" spans="1:10" ht="20.25" customHeight="1">
      <c r="A873" s="471">
        <v>5191</v>
      </c>
      <c r="B873" s="474" t="s">
        <v>445</v>
      </c>
      <c r="C873" s="473">
        <v>26</v>
      </c>
      <c r="D873" s="471">
        <v>5752</v>
      </c>
      <c r="E873" s="474">
        <v>39050</v>
      </c>
      <c r="F873" s="475" t="s">
        <v>446</v>
      </c>
      <c r="G873" s="476">
        <v>49</v>
      </c>
      <c r="H873" s="475" t="s">
        <v>715</v>
      </c>
      <c r="I873" s="478" t="s">
        <v>716</v>
      </c>
      <c r="J873" s="496">
        <v>0</v>
      </c>
    </row>
    <row r="874" spans="1:10" ht="20.25" customHeight="1">
      <c r="A874" s="471">
        <v>5191</v>
      </c>
      <c r="B874" s="474" t="s">
        <v>445</v>
      </c>
      <c r="C874" s="473">
        <v>27</v>
      </c>
      <c r="D874" s="471">
        <v>5752</v>
      </c>
      <c r="E874" s="474">
        <v>39050</v>
      </c>
      <c r="F874" s="475" t="s">
        <v>446</v>
      </c>
      <c r="G874" s="476">
        <v>49</v>
      </c>
      <c r="H874" s="475" t="s">
        <v>715</v>
      </c>
      <c r="I874" s="478" t="s">
        <v>716</v>
      </c>
      <c r="J874" s="496">
        <v>0</v>
      </c>
    </row>
    <row r="875" spans="1:10" ht="20.25" customHeight="1">
      <c r="A875" s="471">
        <v>5191</v>
      </c>
      <c r="B875" s="474" t="s">
        <v>445</v>
      </c>
      <c r="C875" s="473">
        <v>28</v>
      </c>
      <c r="D875" s="471">
        <v>5752</v>
      </c>
      <c r="E875" s="474">
        <v>39050</v>
      </c>
      <c r="F875" s="475" t="s">
        <v>446</v>
      </c>
      <c r="G875" s="476">
        <v>49</v>
      </c>
      <c r="H875" s="475" t="s">
        <v>715</v>
      </c>
      <c r="I875" s="478" t="s">
        <v>716</v>
      </c>
      <c r="J875" s="496">
        <v>0</v>
      </c>
    </row>
    <row r="876" spans="1:10" ht="20.25" customHeight="1">
      <c r="A876" s="471">
        <v>5191</v>
      </c>
      <c r="B876" s="472" t="s">
        <v>445</v>
      </c>
      <c r="C876" s="473">
        <v>39</v>
      </c>
      <c r="D876" s="471">
        <v>4062</v>
      </c>
      <c r="E876" s="474">
        <v>39811</v>
      </c>
      <c r="F876" s="475" t="s">
        <v>468</v>
      </c>
      <c r="G876" s="476">
        <v>93</v>
      </c>
      <c r="H876" s="475" t="s">
        <v>717</v>
      </c>
      <c r="I876" s="478" t="s">
        <v>718</v>
      </c>
      <c r="J876" s="496">
        <v>94932.5</v>
      </c>
    </row>
    <row r="877" spans="1:10" ht="20.25" customHeight="1">
      <c r="A877" s="471">
        <v>5191</v>
      </c>
      <c r="B877" s="472" t="s">
        <v>445</v>
      </c>
      <c r="C877" s="473">
        <v>40</v>
      </c>
      <c r="D877" s="471">
        <v>4062</v>
      </c>
      <c r="E877" s="474">
        <v>39811</v>
      </c>
      <c r="F877" s="475" t="s">
        <v>446</v>
      </c>
      <c r="G877" s="476">
        <v>95</v>
      </c>
      <c r="H877" s="475" t="s">
        <v>719</v>
      </c>
      <c r="I877" s="478" t="s">
        <v>720</v>
      </c>
      <c r="J877" s="496">
        <f t="shared" ref="J877:J906" si="28">(5850*1.15)/30</f>
        <v>224.24999999999997</v>
      </c>
    </row>
    <row r="878" spans="1:10" ht="20.25" customHeight="1">
      <c r="A878" s="471">
        <v>5191</v>
      </c>
      <c r="B878" s="472" t="s">
        <v>445</v>
      </c>
      <c r="C878" s="473">
        <v>41</v>
      </c>
      <c r="D878" s="471">
        <v>4062</v>
      </c>
      <c r="E878" s="474">
        <v>39811</v>
      </c>
      <c r="F878" s="475" t="s">
        <v>446</v>
      </c>
      <c r="G878" s="476">
        <v>95</v>
      </c>
      <c r="H878" s="475" t="s">
        <v>719</v>
      </c>
      <c r="I878" s="478" t="s">
        <v>720</v>
      </c>
      <c r="J878" s="496">
        <f t="shared" si="28"/>
        <v>224.24999999999997</v>
      </c>
    </row>
    <row r="879" spans="1:10" ht="20.25" customHeight="1">
      <c r="A879" s="471">
        <v>5191</v>
      </c>
      <c r="B879" s="472" t="s">
        <v>445</v>
      </c>
      <c r="C879" s="473">
        <v>42</v>
      </c>
      <c r="D879" s="471">
        <v>4062</v>
      </c>
      <c r="E879" s="474">
        <v>39811</v>
      </c>
      <c r="F879" s="475" t="s">
        <v>446</v>
      </c>
      <c r="G879" s="476">
        <v>95</v>
      </c>
      <c r="H879" s="475" t="s">
        <v>719</v>
      </c>
      <c r="I879" s="478" t="s">
        <v>720</v>
      </c>
      <c r="J879" s="496">
        <f t="shared" si="28"/>
        <v>224.24999999999997</v>
      </c>
    </row>
    <row r="880" spans="1:10" ht="20.25" customHeight="1">
      <c r="A880" s="471">
        <v>5191</v>
      </c>
      <c r="B880" s="472" t="s">
        <v>445</v>
      </c>
      <c r="C880" s="473">
        <v>43</v>
      </c>
      <c r="D880" s="471">
        <v>4062</v>
      </c>
      <c r="E880" s="474">
        <v>39811</v>
      </c>
      <c r="F880" s="475" t="s">
        <v>446</v>
      </c>
      <c r="G880" s="476">
        <v>95</v>
      </c>
      <c r="H880" s="475" t="s">
        <v>719</v>
      </c>
      <c r="I880" s="478" t="s">
        <v>720</v>
      </c>
      <c r="J880" s="496">
        <f t="shared" si="28"/>
        <v>224.24999999999997</v>
      </c>
    </row>
    <row r="881" spans="1:10" ht="20.25" customHeight="1">
      <c r="A881" s="471">
        <v>5191</v>
      </c>
      <c r="B881" s="472" t="s">
        <v>445</v>
      </c>
      <c r="C881" s="473">
        <v>44</v>
      </c>
      <c r="D881" s="471">
        <v>4062</v>
      </c>
      <c r="E881" s="474">
        <v>39811</v>
      </c>
      <c r="F881" s="475" t="s">
        <v>446</v>
      </c>
      <c r="G881" s="476">
        <v>95</v>
      </c>
      <c r="H881" s="475" t="s">
        <v>719</v>
      </c>
      <c r="I881" s="478" t="s">
        <v>720</v>
      </c>
      <c r="J881" s="496">
        <f t="shared" si="28"/>
        <v>224.24999999999997</v>
      </c>
    </row>
    <row r="882" spans="1:10" ht="20.25" customHeight="1">
      <c r="A882" s="471">
        <v>5191</v>
      </c>
      <c r="B882" s="472" t="s">
        <v>445</v>
      </c>
      <c r="C882" s="473">
        <v>45</v>
      </c>
      <c r="D882" s="471">
        <v>4062</v>
      </c>
      <c r="E882" s="474">
        <v>39811</v>
      </c>
      <c r="F882" s="475" t="s">
        <v>446</v>
      </c>
      <c r="G882" s="476">
        <v>95</v>
      </c>
      <c r="H882" s="475" t="s">
        <v>719</v>
      </c>
      <c r="I882" s="478" t="s">
        <v>720</v>
      </c>
      <c r="J882" s="496">
        <f t="shared" si="28"/>
        <v>224.24999999999997</v>
      </c>
    </row>
    <row r="883" spans="1:10" ht="20.25" customHeight="1">
      <c r="A883" s="471">
        <v>5191</v>
      </c>
      <c r="B883" s="472" t="s">
        <v>445</v>
      </c>
      <c r="C883" s="473">
        <v>46</v>
      </c>
      <c r="D883" s="471">
        <v>4062</v>
      </c>
      <c r="E883" s="474">
        <v>39811</v>
      </c>
      <c r="F883" s="475" t="s">
        <v>446</v>
      </c>
      <c r="G883" s="476">
        <v>95</v>
      </c>
      <c r="H883" s="475" t="s">
        <v>719</v>
      </c>
      <c r="I883" s="478" t="s">
        <v>720</v>
      </c>
      <c r="J883" s="496">
        <f t="shared" si="28"/>
        <v>224.24999999999997</v>
      </c>
    </row>
    <row r="884" spans="1:10" ht="20.25" customHeight="1">
      <c r="A884" s="471">
        <v>5191</v>
      </c>
      <c r="B884" s="472" t="s">
        <v>445</v>
      </c>
      <c r="C884" s="473">
        <v>47</v>
      </c>
      <c r="D884" s="471">
        <v>4062</v>
      </c>
      <c r="E884" s="474">
        <v>39811</v>
      </c>
      <c r="F884" s="475" t="s">
        <v>446</v>
      </c>
      <c r="G884" s="476">
        <v>95</v>
      </c>
      <c r="H884" s="475" t="s">
        <v>719</v>
      </c>
      <c r="I884" s="478" t="s">
        <v>720</v>
      </c>
      <c r="J884" s="496">
        <f t="shared" si="28"/>
        <v>224.24999999999997</v>
      </c>
    </row>
    <row r="885" spans="1:10" ht="20.25" customHeight="1">
      <c r="A885" s="471">
        <v>5191</v>
      </c>
      <c r="B885" s="472" t="s">
        <v>445</v>
      </c>
      <c r="C885" s="473">
        <v>48</v>
      </c>
      <c r="D885" s="471">
        <v>4062</v>
      </c>
      <c r="E885" s="474">
        <v>39811</v>
      </c>
      <c r="F885" s="475" t="s">
        <v>446</v>
      </c>
      <c r="G885" s="476">
        <v>95</v>
      </c>
      <c r="H885" s="475" t="s">
        <v>719</v>
      </c>
      <c r="I885" s="478" t="s">
        <v>720</v>
      </c>
      <c r="J885" s="496">
        <f t="shared" si="28"/>
        <v>224.24999999999997</v>
      </c>
    </row>
    <row r="886" spans="1:10" ht="20.25" customHeight="1">
      <c r="A886" s="471">
        <v>5191</v>
      </c>
      <c r="B886" s="472" t="s">
        <v>445</v>
      </c>
      <c r="C886" s="473">
        <v>49</v>
      </c>
      <c r="D886" s="471">
        <v>4062</v>
      </c>
      <c r="E886" s="474">
        <v>39811</v>
      </c>
      <c r="F886" s="475" t="s">
        <v>446</v>
      </c>
      <c r="G886" s="476">
        <v>95</v>
      </c>
      <c r="H886" s="475" t="s">
        <v>719</v>
      </c>
      <c r="I886" s="478" t="s">
        <v>720</v>
      </c>
      <c r="J886" s="496">
        <f t="shared" si="28"/>
        <v>224.24999999999997</v>
      </c>
    </row>
    <row r="887" spans="1:10" ht="20.25" customHeight="1">
      <c r="A887" s="471">
        <v>5191</v>
      </c>
      <c r="B887" s="472" t="s">
        <v>445</v>
      </c>
      <c r="C887" s="473">
        <v>50</v>
      </c>
      <c r="D887" s="471">
        <v>4062</v>
      </c>
      <c r="E887" s="474">
        <v>39811</v>
      </c>
      <c r="F887" s="475" t="s">
        <v>446</v>
      </c>
      <c r="G887" s="476">
        <v>95</v>
      </c>
      <c r="H887" s="475" t="s">
        <v>719</v>
      </c>
      <c r="I887" s="478" t="s">
        <v>720</v>
      </c>
      <c r="J887" s="496">
        <f t="shared" si="28"/>
        <v>224.24999999999997</v>
      </c>
    </row>
    <row r="888" spans="1:10" ht="20.25" customHeight="1">
      <c r="A888" s="471">
        <v>5191</v>
      </c>
      <c r="B888" s="472" t="s">
        <v>445</v>
      </c>
      <c r="C888" s="473">
        <v>51</v>
      </c>
      <c r="D888" s="471">
        <v>4062</v>
      </c>
      <c r="E888" s="474">
        <v>39811</v>
      </c>
      <c r="F888" s="475" t="s">
        <v>446</v>
      </c>
      <c r="G888" s="476">
        <v>95</v>
      </c>
      <c r="H888" s="475" t="s">
        <v>719</v>
      </c>
      <c r="I888" s="478" t="s">
        <v>720</v>
      </c>
      <c r="J888" s="496">
        <f t="shared" si="28"/>
        <v>224.24999999999997</v>
      </c>
    </row>
    <row r="889" spans="1:10" ht="20.25" customHeight="1">
      <c r="A889" s="471">
        <v>5191</v>
      </c>
      <c r="B889" s="472" t="s">
        <v>445</v>
      </c>
      <c r="C889" s="473">
        <v>52</v>
      </c>
      <c r="D889" s="471">
        <v>4062</v>
      </c>
      <c r="E889" s="474">
        <v>39811</v>
      </c>
      <c r="F889" s="475" t="s">
        <v>446</v>
      </c>
      <c r="G889" s="476">
        <v>95</v>
      </c>
      <c r="H889" s="475" t="s">
        <v>719</v>
      </c>
      <c r="I889" s="478" t="s">
        <v>720</v>
      </c>
      <c r="J889" s="496">
        <f t="shared" si="28"/>
        <v>224.24999999999997</v>
      </c>
    </row>
    <row r="890" spans="1:10" ht="20.25" customHeight="1">
      <c r="A890" s="471">
        <v>5191</v>
      </c>
      <c r="B890" s="472" t="s">
        <v>445</v>
      </c>
      <c r="C890" s="473">
        <v>53</v>
      </c>
      <c r="D890" s="471">
        <v>4062</v>
      </c>
      <c r="E890" s="474">
        <v>39811</v>
      </c>
      <c r="F890" s="475" t="s">
        <v>446</v>
      </c>
      <c r="G890" s="476">
        <v>95</v>
      </c>
      <c r="H890" s="475" t="s">
        <v>719</v>
      </c>
      <c r="I890" s="478" t="s">
        <v>720</v>
      </c>
      <c r="J890" s="496">
        <f t="shared" si="28"/>
        <v>224.24999999999997</v>
      </c>
    </row>
    <row r="891" spans="1:10" ht="20.25" customHeight="1">
      <c r="A891" s="471">
        <v>5191</v>
      </c>
      <c r="B891" s="472" t="s">
        <v>445</v>
      </c>
      <c r="C891" s="473">
        <v>54</v>
      </c>
      <c r="D891" s="471">
        <v>4062</v>
      </c>
      <c r="E891" s="474">
        <v>39811</v>
      </c>
      <c r="F891" s="475" t="s">
        <v>446</v>
      </c>
      <c r="G891" s="476">
        <v>95</v>
      </c>
      <c r="H891" s="475" t="s">
        <v>719</v>
      </c>
      <c r="I891" s="478" t="s">
        <v>720</v>
      </c>
      <c r="J891" s="496">
        <f t="shared" si="28"/>
        <v>224.24999999999997</v>
      </c>
    </row>
    <row r="892" spans="1:10" ht="20.25" customHeight="1">
      <c r="A892" s="471">
        <v>5191</v>
      </c>
      <c r="B892" s="472" t="s">
        <v>445</v>
      </c>
      <c r="C892" s="473">
        <v>55</v>
      </c>
      <c r="D892" s="471">
        <v>4062</v>
      </c>
      <c r="E892" s="474">
        <v>39811</v>
      </c>
      <c r="F892" s="475" t="s">
        <v>446</v>
      </c>
      <c r="G892" s="476">
        <v>95</v>
      </c>
      <c r="H892" s="475" t="s">
        <v>719</v>
      </c>
      <c r="I892" s="478" t="s">
        <v>720</v>
      </c>
      <c r="J892" s="496">
        <f t="shared" si="28"/>
        <v>224.24999999999997</v>
      </c>
    </row>
    <row r="893" spans="1:10" ht="20.25" customHeight="1">
      <c r="A893" s="471">
        <v>5191</v>
      </c>
      <c r="B893" s="472" t="s">
        <v>445</v>
      </c>
      <c r="C893" s="473">
        <v>56</v>
      </c>
      <c r="D893" s="471">
        <v>4062</v>
      </c>
      <c r="E893" s="474">
        <v>39811</v>
      </c>
      <c r="F893" s="475" t="s">
        <v>446</v>
      </c>
      <c r="G893" s="476">
        <v>95</v>
      </c>
      <c r="H893" s="475" t="s">
        <v>719</v>
      </c>
      <c r="I893" s="478" t="s">
        <v>720</v>
      </c>
      <c r="J893" s="496">
        <f t="shared" si="28"/>
        <v>224.24999999999997</v>
      </c>
    </row>
    <row r="894" spans="1:10" ht="20.25" customHeight="1">
      <c r="A894" s="471">
        <v>5191</v>
      </c>
      <c r="B894" s="472" t="s">
        <v>445</v>
      </c>
      <c r="C894" s="473">
        <v>57</v>
      </c>
      <c r="D894" s="471">
        <v>4062</v>
      </c>
      <c r="E894" s="474">
        <v>39811</v>
      </c>
      <c r="F894" s="475" t="s">
        <v>446</v>
      </c>
      <c r="G894" s="476">
        <v>95</v>
      </c>
      <c r="H894" s="475" t="s">
        <v>719</v>
      </c>
      <c r="I894" s="478" t="s">
        <v>720</v>
      </c>
      <c r="J894" s="496">
        <f t="shared" si="28"/>
        <v>224.24999999999997</v>
      </c>
    </row>
    <row r="895" spans="1:10" ht="20.25" customHeight="1">
      <c r="A895" s="471">
        <v>5191</v>
      </c>
      <c r="B895" s="472" t="s">
        <v>445</v>
      </c>
      <c r="C895" s="473">
        <v>58</v>
      </c>
      <c r="D895" s="471">
        <v>4062</v>
      </c>
      <c r="E895" s="474">
        <v>39811</v>
      </c>
      <c r="F895" s="475" t="s">
        <v>446</v>
      </c>
      <c r="G895" s="476">
        <v>95</v>
      </c>
      <c r="H895" s="475" t="s">
        <v>719</v>
      </c>
      <c r="I895" s="478" t="s">
        <v>720</v>
      </c>
      <c r="J895" s="496">
        <f t="shared" si="28"/>
        <v>224.24999999999997</v>
      </c>
    </row>
    <row r="896" spans="1:10" ht="20.25" customHeight="1">
      <c r="A896" s="471">
        <v>5191</v>
      </c>
      <c r="B896" s="472" t="s">
        <v>445</v>
      </c>
      <c r="C896" s="473">
        <v>59</v>
      </c>
      <c r="D896" s="471">
        <v>4062</v>
      </c>
      <c r="E896" s="474">
        <v>39811</v>
      </c>
      <c r="F896" s="475" t="s">
        <v>446</v>
      </c>
      <c r="G896" s="476">
        <v>95</v>
      </c>
      <c r="H896" s="475" t="s">
        <v>719</v>
      </c>
      <c r="I896" s="478" t="s">
        <v>720</v>
      </c>
      <c r="J896" s="496">
        <f t="shared" si="28"/>
        <v>224.24999999999997</v>
      </c>
    </row>
    <row r="897" spans="1:10" ht="20.25" customHeight="1">
      <c r="A897" s="471">
        <v>5191</v>
      </c>
      <c r="B897" s="472" t="s">
        <v>445</v>
      </c>
      <c r="C897" s="473">
        <v>60</v>
      </c>
      <c r="D897" s="471">
        <v>4062</v>
      </c>
      <c r="E897" s="474">
        <v>39811</v>
      </c>
      <c r="F897" s="475" t="s">
        <v>446</v>
      </c>
      <c r="G897" s="476">
        <v>95</v>
      </c>
      <c r="H897" s="475" t="s">
        <v>719</v>
      </c>
      <c r="I897" s="478" t="s">
        <v>720</v>
      </c>
      <c r="J897" s="496">
        <f t="shared" si="28"/>
        <v>224.24999999999997</v>
      </c>
    </row>
    <row r="898" spans="1:10" ht="20.25" customHeight="1">
      <c r="A898" s="471">
        <v>5191</v>
      </c>
      <c r="B898" s="472" t="s">
        <v>445</v>
      </c>
      <c r="C898" s="473">
        <v>61</v>
      </c>
      <c r="D898" s="471">
        <v>4062</v>
      </c>
      <c r="E898" s="474">
        <v>39811</v>
      </c>
      <c r="F898" s="475" t="s">
        <v>446</v>
      </c>
      <c r="G898" s="476">
        <v>95</v>
      </c>
      <c r="H898" s="475" t="s">
        <v>719</v>
      </c>
      <c r="I898" s="478" t="s">
        <v>720</v>
      </c>
      <c r="J898" s="496">
        <f t="shared" si="28"/>
        <v>224.24999999999997</v>
      </c>
    </row>
    <row r="899" spans="1:10" ht="20.25" customHeight="1">
      <c r="A899" s="471">
        <v>5191</v>
      </c>
      <c r="B899" s="472" t="s">
        <v>445</v>
      </c>
      <c r="C899" s="473">
        <v>62</v>
      </c>
      <c r="D899" s="471">
        <v>4062</v>
      </c>
      <c r="E899" s="474">
        <v>39811</v>
      </c>
      <c r="F899" s="475" t="s">
        <v>446</v>
      </c>
      <c r="G899" s="476">
        <v>95</v>
      </c>
      <c r="H899" s="475" t="s">
        <v>719</v>
      </c>
      <c r="I899" s="478" t="s">
        <v>720</v>
      </c>
      <c r="J899" s="496">
        <f t="shared" si="28"/>
        <v>224.24999999999997</v>
      </c>
    </row>
    <row r="900" spans="1:10" ht="20.25" customHeight="1">
      <c r="A900" s="471">
        <v>5191</v>
      </c>
      <c r="B900" s="472" t="s">
        <v>445</v>
      </c>
      <c r="C900" s="473">
        <v>63</v>
      </c>
      <c r="D900" s="471">
        <v>4062</v>
      </c>
      <c r="E900" s="474">
        <v>39811</v>
      </c>
      <c r="F900" s="475" t="s">
        <v>446</v>
      </c>
      <c r="G900" s="476">
        <v>95</v>
      </c>
      <c r="H900" s="475" t="s">
        <v>719</v>
      </c>
      <c r="I900" s="478" t="s">
        <v>720</v>
      </c>
      <c r="J900" s="496">
        <f t="shared" si="28"/>
        <v>224.24999999999997</v>
      </c>
    </row>
    <row r="901" spans="1:10" ht="20.25" customHeight="1">
      <c r="A901" s="471">
        <v>5191</v>
      </c>
      <c r="B901" s="472" t="s">
        <v>445</v>
      </c>
      <c r="C901" s="473">
        <v>64</v>
      </c>
      <c r="D901" s="471">
        <v>4062</v>
      </c>
      <c r="E901" s="474">
        <v>39811</v>
      </c>
      <c r="F901" s="475" t="s">
        <v>446</v>
      </c>
      <c r="G901" s="476">
        <v>95</v>
      </c>
      <c r="H901" s="475" t="s">
        <v>719</v>
      </c>
      <c r="I901" s="478" t="s">
        <v>720</v>
      </c>
      <c r="J901" s="496">
        <f t="shared" si="28"/>
        <v>224.24999999999997</v>
      </c>
    </row>
    <row r="902" spans="1:10" ht="20.25" customHeight="1">
      <c r="A902" s="471">
        <v>5191</v>
      </c>
      <c r="B902" s="472" t="s">
        <v>445</v>
      </c>
      <c r="C902" s="473">
        <v>65</v>
      </c>
      <c r="D902" s="471">
        <v>4062</v>
      </c>
      <c r="E902" s="474">
        <v>39811</v>
      </c>
      <c r="F902" s="475" t="s">
        <v>446</v>
      </c>
      <c r="G902" s="476">
        <v>95</v>
      </c>
      <c r="H902" s="475" t="s">
        <v>719</v>
      </c>
      <c r="I902" s="478" t="s">
        <v>720</v>
      </c>
      <c r="J902" s="496">
        <f t="shared" si="28"/>
        <v>224.24999999999997</v>
      </c>
    </row>
    <row r="903" spans="1:10" ht="20.25" customHeight="1">
      <c r="A903" s="471">
        <v>5191</v>
      </c>
      <c r="B903" s="472" t="s">
        <v>445</v>
      </c>
      <c r="C903" s="473">
        <v>66</v>
      </c>
      <c r="D903" s="471">
        <v>4062</v>
      </c>
      <c r="E903" s="474">
        <v>39811</v>
      </c>
      <c r="F903" s="475" t="s">
        <v>446</v>
      </c>
      <c r="G903" s="476">
        <v>95</v>
      </c>
      <c r="H903" s="475" t="s">
        <v>719</v>
      </c>
      <c r="I903" s="478" t="s">
        <v>720</v>
      </c>
      <c r="J903" s="496">
        <f t="shared" si="28"/>
        <v>224.24999999999997</v>
      </c>
    </row>
    <row r="904" spans="1:10" ht="20.25" customHeight="1">
      <c r="A904" s="471">
        <v>5191</v>
      </c>
      <c r="B904" s="472" t="s">
        <v>445</v>
      </c>
      <c r="C904" s="473">
        <v>67</v>
      </c>
      <c r="D904" s="471">
        <v>4062</v>
      </c>
      <c r="E904" s="474">
        <v>39811</v>
      </c>
      <c r="F904" s="475" t="s">
        <v>446</v>
      </c>
      <c r="G904" s="476">
        <v>95</v>
      </c>
      <c r="H904" s="475" t="s">
        <v>719</v>
      </c>
      <c r="I904" s="478" t="s">
        <v>720</v>
      </c>
      <c r="J904" s="496">
        <f t="shared" si="28"/>
        <v>224.24999999999997</v>
      </c>
    </row>
    <row r="905" spans="1:10" ht="20.25" customHeight="1">
      <c r="A905" s="471">
        <v>5191</v>
      </c>
      <c r="B905" s="472" t="s">
        <v>445</v>
      </c>
      <c r="C905" s="473">
        <v>68</v>
      </c>
      <c r="D905" s="471">
        <v>4062</v>
      </c>
      <c r="E905" s="474">
        <v>39811</v>
      </c>
      <c r="F905" s="475" t="s">
        <v>446</v>
      </c>
      <c r="G905" s="476">
        <v>95</v>
      </c>
      <c r="H905" s="475" t="s">
        <v>719</v>
      </c>
      <c r="I905" s="478" t="s">
        <v>720</v>
      </c>
      <c r="J905" s="496">
        <f t="shared" si="28"/>
        <v>224.24999999999997</v>
      </c>
    </row>
    <row r="906" spans="1:10" ht="20.25" customHeight="1">
      <c r="A906" s="471">
        <v>5191</v>
      </c>
      <c r="B906" s="472" t="s">
        <v>445</v>
      </c>
      <c r="C906" s="473">
        <v>69</v>
      </c>
      <c r="D906" s="471">
        <v>4062</v>
      </c>
      <c r="E906" s="474">
        <v>39811</v>
      </c>
      <c r="F906" s="475" t="s">
        <v>446</v>
      </c>
      <c r="G906" s="476">
        <v>95</v>
      </c>
      <c r="H906" s="475" t="s">
        <v>719</v>
      </c>
      <c r="I906" s="478" t="s">
        <v>720</v>
      </c>
      <c r="J906" s="496">
        <f t="shared" si="28"/>
        <v>224.24999999999997</v>
      </c>
    </row>
    <row r="907" spans="1:10" ht="20.25" customHeight="1">
      <c r="A907" s="471">
        <v>5191</v>
      </c>
      <c r="B907" s="477" t="s">
        <v>445</v>
      </c>
      <c r="C907" s="473">
        <v>70</v>
      </c>
      <c r="D907" s="478" t="s">
        <v>721</v>
      </c>
      <c r="E907" s="475">
        <v>39902</v>
      </c>
      <c r="F907" s="475" t="s">
        <v>446</v>
      </c>
      <c r="G907" s="476">
        <v>96</v>
      </c>
      <c r="H907" s="475" t="s">
        <v>722</v>
      </c>
      <c r="I907" s="478" t="s">
        <v>723</v>
      </c>
      <c r="J907" s="502">
        <f>(14595.8/2)</f>
        <v>7297.9</v>
      </c>
    </row>
    <row r="908" spans="1:10" ht="20.25" customHeight="1">
      <c r="A908" s="471">
        <v>5191</v>
      </c>
      <c r="B908" s="477" t="s">
        <v>445</v>
      </c>
      <c r="C908" s="473">
        <v>71</v>
      </c>
      <c r="D908" s="478" t="s">
        <v>721</v>
      </c>
      <c r="E908" s="475">
        <v>39902</v>
      </c>
      <c r="F908" s="475" t="s">
        <v>446</v>
      </c>
      <c r="G908" s="476">
        <v>96</v>
      </c>
      <c r="H908" s="475" t="s">
        <v>722</v>
      </c>
      <c r="I908" s="478" t="s">
        <v>723</v>
      </c>
      <c r="J908" s="502">
        <f>(14595.8/2)</f>
        <v>7297.9</v>
      </c>
    </row>
    <row r="909" spans="1:10" ht="20.25" customHeight="1">
      <c r="A909" s="471">
        <v>5191</v>
      </c>
      <c r="B909" s="472" t="s">
        <v>445</v>
      </c>
      <c r="C909" s="473">
        <v>72</v>
      </c>
      <c r="D909" s="471" t="s">
        <v>724</v>
      </c>
      <c r="E909" s="472">
        <v>40326</v>
      </c>
      <c r="F909" s="475" t="s">
        <v>468</v>
      </c>
      <c r="G909" s="476">
        <v>97</v>
      </c>
      <c r="H909" s="475" t="s">
        <v>725</v>
      </c>
      <c r="I909" s="498" t="s">
        <v>726</v>
      </c>
      <c r="J909" s="499">
        <v>29499</v>
      </c>
    </row>
    <row r="910" spans="1:10" ht="20.25" customHeight="1">
      <c r="A910" s="471">
        <v>5191</v>
      </c>
      <c r="B910" s="472" t="s">
        <v>445</v>
      </c>
      <c r="C910" s="473">
        <v>73</v>
      </c>
      <c r="D910" s="471">
        <v>14630</v>
      </c>
      <c r="E910" s="472">
        <v>40498</v>
      </c>
      <c r="F910" s="475" t="s">
        <v>468</v>
      </c>
      <c r="G910" s="476">
        <v>98</v>
      </c>
      <c r="H910" s="475" t="s">
        <v>727</v>
      </c>
      <c r="I910" s="498" t="s">
        <v>728</v>
      </c>
      <c r="J910" s="499">
        <f>3090*1.16</f>
        <v>3584.3999999999996</v>
      </c>
    </row>
    <row r="911" spans="1:10" ht="20.25" customHeight="1">
      <c r="A911" s="471">
        <v>5191</v>
      </c>
      <c r="B911" s="472" t="s">
        <v>445</v>
      </c>
      <c r="C911" s="473">
        <v>74</v>
      </c>
      <c r="D911" s="471">
        <v>14630</v>
      </c>
      <c r="E911" s="472">
        <v>40498</v>
      </c>
      <c r="F911" s="475" t="s">
        <v>468</v>
      </c>
      <c r="G911" s="476">
        <v>99</v>
      </c>
      <c r="H911" s="475" t="s">
        <v>729</v>
      </c>
      <c r="I911" s="498" t="s">
        <v>730</v>
      </c>
      <c r="J911" s="499">
        <f>9800*1.16</f>
        <v>11368</v>
      </c>
    </row>
    <row r="912" spans="1:10" ht="20.25" customHeight="1">
      <c r="A912" s="471">
        <v>5191</v>
      </c>
      <c r="B912" s="472" t="s">
        <v>445</v>
      </c>
      <c r="C912" s="473">
        <v>75</v>
      </c>
      <c r="D912" s="471" t="s">
        <v>731</v>
      </c>
      <c r="E912" s="472">
        <v>40611</v>
      </c>
      <c r="F912" s="475" t="s">
        <v>446</v>
      </c>
      <c r="G912" s="476">
        <v>100</v>
      </c>
      <c r="H912" s="475" t="s">
        <v>732</v>
      </c>
      <c r="I912" s="498" t="s">
        <v>733</v>
      </c>
      <c r="J912" s="499">
        <f>2525.25*1.16</f>
        <v>2929.29</v>
      </c>
    </row>
    <row r="913" spans="1:10" ht="20.25" customHeight="1">
      <c r="A913" s="471">
        <v>5191</v>
      </c>
      <c r="B913" s="472" t="s">
        <v>445</v>
      </c>
      <c r="C913" s="473">
        <v>76</v>
      </c>
      <c r="D913" s="471" t="s">
        <v>731</v>
      </c>
      <c r="E913" s="472">
        <v>40611</v>
      </c>
      <c r="F913" s="475" t="s">
        <v>446</v>
      </c>
      <c r="G913" s="476">
        <v>100</v>
      </c>
      <c r="H913" s="475" t="s">
        <v>732</v>
      </c>
      <c r="I913" s="498" t="s">
        <v>733</v>
      </c>
      <c r="J913" s="499">
        <f>2525.25*1.16</f>
        <v>2929.29</v>
      </c>
    </row>
    <row r="914" spans="1:10" ht="20.25" customHeight="1">
      <c r="A914" s="471">
        <v>5191</v>
      </c>
      <c r="B914" s="472" t="s">
        <v>445</v>
      </c>
      <c r="C914" s="473">
        <v>77</v>
      </c>
      <c r="D914" s="471">
        <v>25701</v>
      </c>
      <c r="E914" s="472">
        <v>40632</v>
      </c>
      <c r="F914" s="475" t="s">
        <v>734</v>
      </c>
      <c r="G914" s="476">
        <v>101</v>
      </c>
      <c r="H914" s="475" t="s">
        <v>735</v>
      </c>
      <c r="I914" s="498" t="s">
        <v>736</v>
      </c>
      <c r="J914" s="499">
        <f>12840*1.16</f>
        <v>14894.4</v>
      </c>
    </row>
    <row r="915" spans="1:10" ht="20.25" customHeight="1">
      <c r="A915" s="471">
        <v>5191</v>
      </c>
      <c r="B915" s="472" t="s">
        <v>445</v>
      </c>
      <c r="C915" s="473">
        <v>78</v>
      </c>
      <c r="D915" s="471">
        <v>188</v>
      </c>
      <c r="E915" s="472">
        <v>40882</v>
      </c>
      <c r="F915" s="475" t="s">
        <v>734</v>
      </c>
      <c r="G915" s="476">
        <v>87</v>
      </c>
      <c r="H915" s="475" t="s">
        <v>737</v>
      </c>
      <c r="I915" s="498" t="s">
        <v>738</v>
      </c>
      <c r="J915" s="496">
        <f>3300*1.16</f>
        <v>3827.9999999999995</v>
      </c>
    </row>
    <row r="916" spans="1:10" ht="20.25" customHeight="1">
      <c r="A916" s="471">
        <v>5191</v>
      </c>
      <c r="B916" s="472" t="s">
        <v>445</v>
      </c>
      <c r="C916" s="473">
        <v>79</v>
      </c>
      <c r="D916" s="471">
        <v>2351</v>
      </c>
      <c r="E916" s="474">
        <v>40981</v>
      </c>
      <c r="F916" s="475" t="s">
        <v>468</v>
      </c>
      <c r="G916" s="476">
        <v>103</v>
      </c>
      <c r="H916" s="475" t="s">
        <v>594</v>
      </c>
      <c r="I916" s="478" t="s">
        <v>739</v>
      </c>
      <c r="J916" s="496">
        <v>1220</v>
      </c>
    </row>
    <row r="917" spans="1:10" ht="20.25" customHeight="1">
      <c r="A917" s="471">
        <v>5191</v>
      </c>
      <c r="B917" s="472" t="s">
        <v>445</v>
      </c>
      <c r="C917" s="473">
        <v>80</v>
      </c>
      <c r="D917" s="471">
        <v>3779</v>
      </c>
      <c r="E917" s="474">
        <v>41349</v>
      </c>
      <c r="F917" s="475" t="s">
        <v>468</v>
      </c>
      <c r="G917" s="476">
        <v>106</v>
      </c>
      <c r="H917" s="475" t="s">
        <v>692</v>
      </c>
      <c r="I917" s="478" t="s">
        <v>740</v>
      </c>
      <c r="J917" s="497">
        <v>2790</v>
      </c>
    </row>
    <row r="918" spans="1:10" ht="20.25" customHeight="1">
      <c r="A918" s="471">
        <v>5191</v>
      </c>
      <c r="B918" s="472" t="s">
        <v>445</v>
      </c>
      <c r="C918" s="473" t="s">
        <v>741</v>
      </c>
      <c r="D918" s="471">
        <v>1428</v>
      </c>
      <c r="E918" s="474">
        <v>41421</v>
      </c>
      <c r="F918" s="475" t="s">
        <v>468</v>
      </c>
      <c r="G918" s="476">
        <v>103</v>
      </c>
      <c r="H918" s="475" t="s">
        <v>594</v>
      </c>
      <c r="I918" s="478" t="s">
        <v>742</v>
      </c>
      <c r="J918" s="497">
        <v>8120</v>
      </c>
    </row>
    <row r="919" spans="1:10" ht="20.25" customHeight="1">
      <c r="A919" s="471">
        <v>5191</v>
      </c>
      <c r="B919" s="472" t="s">
        <v>445</v>
      </c>
      <c r="C919" s="473">
        <v>81</v>
      </c>
      <c r="D919" s="471" t="s">
        <v>743</v>
      </c>
      <c r="E919" s="474">
        <v>41620</v>
      </c>
      <c r="F919" s="475" t="s">
        <v>468</v>
      </c>
      <c r="G919" s="476">
        <v>106</v>
      </c>
      <c r="H919" s="475" t="s">
        <v>692</v>
      </c>
      <c r="I919" s="478" t="s">
        <v>744</v>
      </c>
      <c r="J919" s="497">
        <v>589.48</v>
      </c>
    </row>
    <row r="920" spans="1:10" ht="20.25" customHeight="1">
      <c r="A920" s="471">
        <v>5191</v>
      </c>
      <c r="B920" s="472" t="s">
        <v>445</v>
      </c>
      <c r="C920" s="473">
        <v>82</v>
      </c>
      <c r="D920" s="471" t="s">
        <v>743</v>
      </c>
      <c r="E920" s="474">
        <v>41620</v>
      </c>
      <c r="F920" s="475" t="s">
        <v>468</v>
      </c>
      <c r="G920" s="476">
        <v>106</v>
      </c>
      <c r="H920" s="475" t="s">
        <v>692</v>
      </c>
      <c r="I920" s="478" t="s">
        <v>744</v>
      </c>
      <c r="J920" s="497">
        <v>589.48</v>
      </c>
    </row>
    <row r="921" spans="1:10" ht="20.25" customHeight="1">
      <c r="A921" s="471">
        <v>5191</v>
      </c>
      <c r="B921" s="472" t="s">
        <v>445</v>
      </c>
      <c r="C921" s="473">
        <v>83</v>
      </c>
      <c r="D921" s="471" t="s">
        <v>743</v>
      </c>
      <c r="E921" s="474">
        <v>41620</v>
      </c>
      <c r="F921" s="475" t="s">
        <v>468</v>
      </c>
      <c r="G921" s="476">
        <v>106</v>
      </c>
      <c r="H921" s="475" t="s">
        <v>692</v>
      </c>
      <c r="I921" s="478" t="s">
        <v>744</v>
      </c>
      <c r="J921" s="497">
        <v>589.48</v>
      </c>
    </row>
    <row r="922" spans="1:10" ht="20.25" customHeight="1">
      <c r="A922" s="471">
        <v>5191</v>
      </c>
      <c r="B922" s="472" t="s">
        <v>445</v>
      </c>
      <c r="C922" s="473">
        <v>84</v>
      </c>
      <c r="D922" s="471" t="s">
        <v>743</v>
      </c>
      <c r="E922" s="474">
        <v>41620</v>
      </c>
      <c r="F922" s="475" t="s">
        <v>468</v>
      </c>
      <c r="G922" s="476">
        <v>106</v>
      </c>
      <c r="H922" s="475" t="s">
        <v>692</v>
      </c>
      <c r="I922" s="478" t="s">
        <v>744</v>
      </c>
      <c r="J922" s="497">
        <v>589.47</v>
      </c>
    </row>
    <row r="923" spans="1:10" ht="20.25" customHeight="1">
      <c r="A923" s="471">
        <v>5191</v>
      </c>
      <c r="B923" s="472" t="s">
        <v>445</v>
      </c>
      <c r="C923" s="473">
        <v>85</v>
      </c>
      <c r="D923" s="471" t="s">
        <v>745</v>
      </c>
      <c r="E923" s="474">
        <v>41627</v>
      </c>
      <c r="F923" s="475" t="s">
        <v>468</v>
      </c>
      <c r="G923" s="476">
        <v>103</v>
      </c>
      <c r="H923" s="475" t="s">
        <v>594</v>
      </c>
      <c r="I923" s="478" t="s">
        <v>746</v>
      </c>
      <c r="J923" s="497">
        <v>9900</v>
      </c>
    </row>
    <row r="924" spans="1:10" ht="20.25" customHeight="1">
      <c r="A924" s="471">
        <v>5191</v>
      </c>
      <c r="B924" s="472" t="s">
        <v>445</v>
      </c>
      <c r="C924" s="473">
        <v>86</v>
      </c>
      <c r="D924" s="471" t="s">
        <v>745</v>
      </c>
      <c r="E924" s="474">
        <v>41627</v>
      </c>
      <c r="F924" s="475" t="s">
        <v>468</v>
      </c>
      <c r="G924" s="476">
        <v>103</v>
      </c>
      <c r="H924" s="475" t="s">
        <v>594</v>
      </c>
      <c r="I924" s="478" t="s">
        <v>746</v>
      </c>
      <c r="J924" s="497">
        <v>9900</v>
      </c>
    </row>
    <row r="925" spans="1:10" ht="20.25" customHeight="1">
      <c r="A925" s="471">
        <v>5191</v>
      </c>
      <c r="B925" s="472" t="s">
        <v>445</v>
      </c>
      <c r="C925" s="473">
        <v>87</v>
      </c>
      <c r="D925" s="471" t="s">
        <v>745</v>
      </c>
      <c r="E925" s="474">
        <v>41627</v>
      </c>
      <c r="F925" s="475" t="s">
        <v>468</v>
      </c>
      <c r="G925" s="476">
        <v>103</v>
      </c>
      <c r="H925" s="475" t="s">
        <v>594</v>
      </c>
      <c r="I925" s="478" t="s">
        <v>746</v>
      </c>
      <c r="J925" s="497">
        <v>9900</v>
      </c>
    </row>
    <row r="926" spans="1:10" ht="20.25" customHeight="1">
      <c r="A926" s="471">
        <v>5191</v>
      </c>
      <c r="B926" s="472" t="s">
        <v>445</v>
      </c>
      <c r="C926" s="473">
        <v>88</v>
      </c>
      <c r="D926" s="471" t="s">
        <v>745</v>
      </c>
      <c r="E926" s="474">
        <v>41627</v>
      </c>
      <c r="F926" s="475" t="s">
        <v>468</v>
      </c>
      <c r="G926" s="476">
        <v>103</v>
      </c>
      <c r="H926" s="475" t="s">
        <v>594</v>
      </c>
      <c r="I926" s="478" t="s">
        <v>746</v>
      </c>
      <c r="J926" s="497">
        <v>9900</v>
      </c>
    </row>
    <row r="927" spans="1:10" ht="20.25" customHeight="1">
      <c r="A927" s="471">
        <v>5191</v>
      </c>
      <c r="B927" s="472" t="s">
        <v>445</v>
      </c>
      <c r="C927" s="473">
        <v>89</v>
      </c>
      <c r="D927" s="478">
        <v>7569</v>
      </c>
      <c r="E927" s="475">
        <v>41870</v>
      </c>
      <c r="F927" s="475" t="s">
        <v>468</v>
      </c>
      <c r="G927" s="476">
        <v>103</v>
      </c>
      <c r="H927" s="475" t="s">
        <v>594</v>
      </c>
      <c r="I927" s="478" t="s">
        <v>747</v>
      </c>
      <c r="J927" s="503">
        <v>29499.99</v>
      </c>
    </row>
    <row r="928" spans="1:10" ht="20.25" customHeight="1">
      <c r="A928" s="471">
        <v>5191</v>
      </c>
      <c r="B928" s="472" t="s">
        <v>445</v>
      </c>
      <c r="C928" s="473">
        <v>90</v>
      </c>
      <c r="D928" s="478">
        <v>3961</v>
      </c>
      <c r="E928" s="475">
        <v>41873</v>
      </c>
      <c r="F928" s="475" t="s">
        <v>468</v>
      </c>
      <c r="G928" s="476">
        <v>103</v>
      </c>
      <c r="H928" s="475" t="s">
        <v>594</v>
      </c>
      <c r="I928" s="478" t="s">
        <v>748</v>
      </c>
      <c r="J928" s="503">
        <v>888.56</v>
      </c>
    </row>
    <row r="929" spans="1:10" ht="20.25" customHeight="1">
      <c r="A929" s="471">
        <v>5191</v>
      </c>
      <c r="B929" s="472" t="s">
        <v>445</v>
      </c>
      <c r="C929" s="473">
        <v>91</v>
      </c>
      <c r="D929" s="478" t="s">
        <v>709</v>
      </c>
      <c r="E929" s="475">
        <v>41925</v>
      </c>
      <c r="F929" s="475" t="s">
        <v>468</v>
      </c>
      <c r="G929" s="476">
        <v>103</v>
      </c>
      <c r="H929" s="475" t="s">
        <v>594</v>
      </c>
      <c r="I929" s="478" t="s">
        <v>749</v>
      </c>
      <c r="J929" s="503">
        <v>1000</v>
      </c>
    </row>
    <row r="930" spans="1:10" ht="20.25" customHeight="1">
      <c r="A930" s="471">
        <v>5191</v>
      </c>
      <c r="B930" s="472" t="s">
        <v>445</v>
      </c>
      <c r="C930" s="473">
        <v>92</v>
      </c>
      <c r="D930" s="478" t="s">
        <v>709</v>
      </c>
      <c r="E930" s="475">
        <v>41925</v>
      </c>
      <c r="F930" s="475" t="s">
        <v>468</v>
      </c>
      <c r="G930" s="476">
        <v>103</v>
      </c>
      <c r="H930" s="475" t="s">
        <v>594</v>
      </c>
      <c r="I930" s="478" t="s">
        <v>749</v>
      </c>
      <c r="J930" s="503">
        <v>1000</v>
      </c>
    </row>
    <row r="931" spans="1:10" ht="20.25" customHeight="1">
      <c r="A931" s="471">
        <v>5191</v>
      </c>
      <c r="B931" s="472" t="s">
        <v>445</v>
      </c>
      <c r="C931" s="473">
        <v>93</v>
      </c>
      <c r="D931" s="478" t="s">
        <v>709</v>
      </c>
      <c r="E931" s="475">
        <v>41925</v>
      </c>
      <c r="F931" s="475" t="s">
        <v>468</v>
      </c>
      <c r="G931" s="476">
        <v>103</v>
      </c>
      <c r="H931" s="475" t="s">
        <v>594</v>
      </c>
      <c r="I931" s="478" t="s">
        <v>749</v>
      </c>
      <c r="J931" s="503">
        <v>1000</v>
      </c>
    </row>
    <row r="932" spans="1:10" ht="20.25" customHeight="1">
      <c r="A932" s="471">
        <v>5191</v>
      </c>
      <c r="B932" s="472" t="s">
        <v>445</v>
      </c>
      <c r="C932" s="473">
        <v>94</v>
      </c>
      <c r="D932" s="478" t="s">
        <v>709</v>
      </c>
      <c r="E932" s="475">
        <v>41925</v>
      </c>
      <c r="F932" s="475" t="s">
        <v>468</v>
      </c>
      <c r="G932" s="476">
        <v>103</v>
      </c>
      <c r="H932" s="475" t="s">
        <v>594</v>
      </c>
      <c r="I932" s="478" t="s">
        <v>749</v>
      </c>
      <c r="J932" s="503">
        <v>1000</v>
      </c>
    </row>
    <row r="933" spans="1:10" ht="20.25" customHeight="1">
      <c r="A933" s="471">
        <v>5191</v>
      </c>
      <c r="B933" s="472" t="s">
        <v>445</v>
      </c>
      <c r="C933" s="473">
        <v>95</v>
      </c>
      <c r="D933" s="478" t="s">
        <v>709</v>
      </c>
      <c r="E933" s="475">
        <v>41925</v>
      </c>
      <c r="F933" s="475" t="s">
        <v>468</v>
      </c>
      <c r="G933" s="476">
        <v>103</v>
      </c>
      <c r="H933" s="475" t="s">
        <v>594</v>
      </c>
      <c r="I933" s="478" t="s">
        <v>749</v>
      </c>
      <c r="J933" s="503">
        <v>1000</v>
      </c>
    </row>
    <row r="934" spans="1:10" ht="20.25" customHeight="1">
      <c r="A934" s="471">
        <v>5191</v>
      </c>
      <c r="B934" s="472" t="s">
        <v>445</v>
      </c>
      <c r="C934" s="473">
        <v>96</v>
      </c>
      <c r="D934" s="478" t="s">
        <v>709</v>
      </c>
      <c r="E934" s="475">
        <v>41925</v>
      </c>
      <c r="F934" s="475" t="s">
        <v>468</v>
      </c>
      <c r="G934" s="476">
        <v>103</v>
      </c>
      <c r="H934" s="475" t="s">
        <v>594</v>
      </c>
      <c r="I934" s="478" t="s">
        <v>749</v>
      </c>
      <c r="J934" s="503">
        <v>1000</v>
      </c>
    </row>
    <row r="935" spans="1:10" ht="20.25" customHeight="1">
      <c r="A935" s="471">
        <v>5191</v>
      </c>
      <c r="B935" s="472" t="s">
        <v>445</v>
      </c>
      <c r="C935" s="473">
        <v>97</v>
      </c>
      <c r="D935" s="478" t="s">
        <v>709</v>
      </c>
      <c r="E935" s="475">
        <v>41925</v>
      </c>
      <c r="F935" s="475" t="s">
        <v>468</v>
      </c>
      <c r="G935" s="476">
        <v>103</v>
      </c>
      <c r="H935" s="475" t="s">
        <v>594</v>
      </c>
      <c r="I935" s="478" t="s">
        <v>749</v>
      </c>
      <c r="J935" s="503">
        <v>1000</v>
      </c>
    </row>
    <row r="936" spans="1:10" ht="20.25" customHeight="1">
      <c r="A936" s="471">
        <v>5191</v>
      </c>
      <c r="B936" s="472" t="s">
        <v>445</v>
      </c>
      <c r="C936" s="473">
        <v>98</v>
      </c>
      <c r="D936" s="478" t="s">
        <v>709</v>
      </c>
      <c r="E936" s="475">
        <v>41925</v>
      </c>
      <c r="F936" s="475" t="s">
        <v>468</v>
      </c>
      <c r="G936" s="476">
        <v>103</v>
      </c>
      <c r="H936" s="475" t="s">
        <v>594</v>
      </c>
      <c r="I936" s="478" t="s">
        <v>749</v>
      </c>
      <c r="J936" s="503">
        <v>1000</v>
      </c>
    </row>
    <row r="937" spans="1:10" ht="20.25" customHeight="1">
      <c r="A937" s="471">
        <v>5191</v>
      </c>
      <c r="B937" s="472" t="s">
        <v>445</v>
      </c>
      <c r="C937" s="473">
        <v>99</v>
      </c>
      <c r="D937" s="478" t="s">
        <v>709</v>
      </c>
      <c r="E937" s="475">
        <v>41925</v>
      </c>
      <c r="F937" s="475" t="s">
        <v>468</v>
      </c>
      <c r="G937" s="476">
        <v>103</v>
      </c>
      <c r="H937" s="475" t="s">
        <v>594</v>
      </c>
      <c r="I937" s="478" t="s">
        <v>749</v>
      </c>
      <c r="J937" s="503">
        <v>1000</v>
      </c>
    </row>
    <row r="938" spans="1:10" ht="20.25" customHeight="1">
      <c r="A938" s="471">
        <v>5191</v>
      </c>
      <c r="B938" s="472" t="s">
        <v>445</v>
      </c>
      <c r="C938" s="473">
        <v>100</v>
      </c>
      <c r="D938" s="478" t="s">
        <v>709</v>
      </c>
      <c r="E938" s="475">
        <v>41925</v>
      </c>
      <c r="F938" s="475" t="s">
        <v>468</v>
      </c>
      <c r="G938" s="476">
        <v>103</v>
      </c>
      <c r="H938" s="475" t="s">
        <v>594</v>
      </c>
      <c r="I938" s="478" t="s">
        <v>749</v>
      </c>
      <c r="J938" s="503">
        <v>1000</v>
      </c>
    </row>
    <row r="939" spans="1:10" ht="20.25" customHeight="1">
      <c r="A939" s="471">
        <v>5191</v>
      </c>
      <c r="B939" s="472" t="s">
        <v>445</v>
      </c>
      <c r="C939" s="473">
        <v>101</v>
      </c>
      <c r="D939" s="478" t="s">
        <v>709</v>
      </c>
      <c r="E939" s="475">
        <v>41925</v>
      </c>
      <c r="F939" s="475" t="s">
        <v>468</v>
      </c>
      <c r="G939" s="476">
        <v>103</v>
      </c>
      <c r="H939" s="475" t="s">
        <v>594</v>
      </c>
      <c r="I939" s="478" t="s">
        <v>750</v>
      </c>
      <c r="J939" s="503">
        <v>4999</v>
      </c>
    </row>
    <row r="940" spans="1:10" ht="20.25" customHeight="1">
      <c r="A940" s="471">
        <v>5191</v>
      </c>
      <c r="B940" s="472" t="s">
        <v>445</v>
      </c>
      <c r="C940" s="473">
        <v>102</v>
      </c>
      <c r="D940" s="478" t="s">
        <v>709</v>
      </c>
      <c r="E940" s="475">
        <v>41925</v>
      </c>
      <c r="F940" s="475" t="s">
        <v>468</v>
      </c>
      <c r="G940" s="476">
        <v>103</v>
      </c>
      <c r="H940" s="475" t="s">
        <v>594</v>
      </c>
      <c r="I940" s="478" t="s">
        <v>750</v>
      </c>
      <c r="J940" s="503">
        <v>4999</v>
      </c>
    </row>
    <row r="941" spans="1:10" ht="20.25" customHeight="1">
      <c r="A941" s="484">
        <v>5191</v>
      </c>
      <c r="B941" s="485" t="s">
        <v>445</v>
      </c>
      <c r="C941" s="486">
        <v>103</v>
      </c>
      <c r="D941" s="487" t="s">
        <v>751</v>
      </c>
      <c r="E941" s="488">
        <v>42115</v>
      </c>
      <c r="F941" s="488" t="s">
        <v>468</v>
      </c>
      <c r="G941" s="476">
        <v>103</v>
      </c>
      <c r="H941" s="475" t="s">
        <v>594</v>
      </c>
      <c r="I941" s="487" t="s">
        <v>752</v>
      </c>
      <c r="J941" s="504">
        <v>1638.99</v>
      </c>
    </row>
    <row r="942" spans="1:10" ht="20.25" customHeight="1">
      <c r="A942" s="484">
        <v>5191</v>
      </c>
      <c r="B942" s="485" t="s">
        <v>445</v>
      </c>
      <c r="C942" s="486">
        <v>104</v>
      </c>
      <c r="D942" s="487" t="s">
        <v>751</v>
      </c>
      <c r="E942" s="488">
        <v>42115</v>
      </c>
      <c r="F942" s="488" t="s">
        <v>468</v>
      </c>
      <c r="G942" s="476">
        <v>103</v>
      </c>
      <c r="H942" s="475" t="s">
        <v>594</v>
      </c>
      <c r="I942" s="487" t="s">
        <v>752</v>
      </c>
      <c r="J942" s="504">
        <v>1638.99</v>
      </c>
    </row>
    <row r="943" spans="1:10" ht="20.25" customHeight="1">
      <c r="A943" s="484">
        <v>5191</v>
      </c>
      <c r="B943" s="485" t="s">
        <v>445</v>
      </c>
      <c r="C943" s="486">
        <v>105</v>
      </c>
      <c r="D943" s="487" t="s">
        <v>751</v>
      </c>
      <c r="E943" s="488">
        <v>42115</v>
      </c>
      <c r="F943" s="488" t="s">
        <v>468</v>
      </c>
      <c r="G943" s="476">
        <v>103</v>
      </c>
      <c r="H943" s="475" t="s">
        <v>594</v>
      </c>
      <c r="I943" s="487" t="s">
        <v>752</v>
      </c>
      <c r="J943" s="504">
        <v>1638.99</v>
      </c>
    </row>
    <row r="944" spans="1:10" ht="20.25" customHeight="1">
      <c r="A944" s="484">
        <v>5191</v>
      </c>
      <c r="B944" s="485" t="s">
        <v>445</v>
      </c>
      <c r="C944" s="486">
        <v>106</v>
      </c>
      <c r="D944" s="487" t="s">
        <v>751</v>
      </c>
      <c r="E944" s="488">
        <v>42115</v>
      </c>
      <c r="F944" s="488" t="s">
        <v>468</v>
      </c>
      <c r="G944" s="476">
        <v>103</v>
      </c>
      <c r="H944" s="475" t="s">
        <v>594</v>
      </c>
      <c r="I944" s="487" t="s">
        <v>752</v>
      </c>
      <c r="J944" s="504">
        <v>1638.99</v>
      </c>
    </row>
    <row r="945" spans="1:10" ht="20.25" customHeight="1">
      <c r="A945" s="484">
        <v>5191</v>
      </c>
      <c r="B945" s="485" t="s">
        <v>445</v>
      </c>
      <c r="C945" s="486">
        <v>107</v>
      </c>
      <c r="D945" s="487" t="s">
        <v>751</v>
      </c>
      <c r="E945" s="488">
        <v>42115</v>
      </c>
      <c r="F945" s="488" t="s">
        <v>468</v>
      </c>
      <c r="G945" s="476">
        <v>103</v>
      </c>
      <c r="H945" s="475" t="s">
        <v>594</v>
      </c>
      <c r="I945" s="487" t="s">
        <v>752</v>
      </c>
      <c r="J945" s="504">
        <v>1638.99</v>
      </c>
    </row>
    <row r="946" spans="1:10" ht="20.25" customHeight="1">
      <c r="A946" s="484">
        <v>5191</v>
      </c>
      <c r="B946" s="485" t="s">
        <v>445</v>
      </c>
      <c r="C946" s="486">
        <v>108</v>
      </c>
      <c r="D946" s="487" t="s">
        <v>751</v>
      </c>
      <c r="E946" s="488">
        <v>42115</v>
      </c>
      <c r="F946" s="488" t="s">
        <v>468</v>
      </c>
      <c r="G946" s="476">
        <v>103</v>
      </c>
      <c r="H946" s="475" t="s">
        <v>594</v>
      </c>
      <c r="I946" s="487" t="s">
        <v>752</v>
      </c>
      <c r="J946" s="504">
        <v>1638.99</v>
      </c>
    </row>
    <row r="947" spans="1:10" ht="20.25" customHeight="1">
      <c r="A947" s="471">
        <v>5211</v>
      </c>
      <c r="B947" s="472" t="s">
        <v>445</v>
      </c>
      <c r="C947" s="473">
        <v>1</v>
      </c>
      <c r="D947" s="471" t="s">
        <v>753</v>
      </c>
      <c r="E947" s="474">
        <v>38629</v>
      </c>
      <c r="F947" s="475" t="s">
        <v>468</v>
      </c>
      <c r="G947" s="476">
        <v>104</v>
      </c>
      <c r="H947" s="475" t="s">
        <v>754</v>
      </c>
      <c r="I947" s="478" t="s">
        <v>755</v>
      </c>
      <c r="J947" s="496">
        <f>3477.39*1.15</f>
        <v>3998.9984999999997</v>
      </c>
    </row>
    <row r="948" spans="1:10" ht="20.25" customHeight="1">
      <c r="A948" s="471">
        <v>5211</v>
      </c>
      <c r="B948" s="472" t="s">
        <v>445</v>
      </c>
      <c r="C948" s="473">
        <v>2</v>
      </c>
      <c r="D948" s="471">
        <v>11676</v>
      </c>
      <c r="E948" s="474">
        <v>39800</v>
      </c>
      <c r="F948" s="475" t="s">
        <v>468</v>
      </c>
      <c r="G948" s="476">
        <v>105</v>
      </c>
      <c r="H948" s="475" t="s">
        <v>756</v>
      </c>
      <c r="I948" s="478" t="s">
        <v>757</v>
      </c>
      <c r="J948" s="496">
        <v>48257</v>
      </c>
    </row>
    <row r="949" spans="1:10" ht="20.25" customHeight="1">
      <c r="A949" s="471">
        <v>5211</v>
      </c>
      <c r="B949" s="472" t="s">
        <v>445</v>
      </c>
      <c r="C949" s="473">
        <v>3</v>
      </c>
      <c r="D949" s="471">
        <v>36642</v>
      </c>
      <c r="E949" s="474">
        <v>41894</v>
      </c>
      <c r="F949" s="475" t="s">
        <v>468</v>
      </c>
      <c r="G949" s="476">
        <v>106</v>
      </c>
      <c r="H949" s="475" t="s">
        <v>692</v>
      </c>
      <c r="I949" s="478" t="s">
        <v>758</v>
      </c>
      <c r="J949" s="496">
        <f t="shared" ref="J949:J961" si="29">7428.45*1.16</f>
        <v>8617.0019999999986</v>
      </c>
    </row>
    <row r="950" spans="1:10" ht="20.25" customHeight="1">
      <c r="A950" s="471">
        <v>5211</v>
      </c>
      <c r="B950" s="472" t="s">
        <v>445</v>
      </c>
      <c r="C950" s="473">
        <v>4</v>
      </c>
      <c r="D950" s="471">
        <v>36642</v>
      </c>
      <c r="E950" s="474">
        <v>41894</v>
      </c>
      <c r="F950" s="475" t="s">
        <v>468</v>
      </c>
      <c r="G950" s="476">
        <v>106</v>
      </c>
      <c r="H950" s="475" t="s">
        <v>692</v>
      </c>
      <c r="I950" s="478" t="s">
        <v>758</v>
      </c>
      <c r="J950" s="496">
        <f t="shared" si="29"/>
        <v>8617.0019999999986</v>
      </c>
    </row>
    <row r="951" spans="1:10" ht="20.25" customHeight="1">
      <c r="A951" s="471">
        <v>5211</v>
      </c>
      <c r="B951" s="472" t="s">
        <v>445</v>
      </c>
      <c r="C951" s="473">
        <v>5</v>
      </c>
      <c r="D951" s="471">
        <v>36642</v>
      </c>
      <c r="E951" s="474">
        <v>41894</v>
      </c>
      <c r="F951" s="475" t="s">
        <v>468</v>
      </c>
      <c r="G951" s="476">
        <v>106</v>
      </c>
      <c r="H951" s="475" t="s">
        <v>692</v>
      </c>
      <c r="I951" s="478" t="s">
        <v>758</v>
      </c>
      <c r="J951" s="496">
        <f t="shared" si="29"/>
        <v>8617.0019999999986</v>
      </c>
    </row>
    <row r="952" spans="1:10" ht="20.25" customHeight="1">
      <c r="A952" s="471">
        <v>5211</v>
      </c>
      <c r="B952" s="472" t="s">
        <v>445</v>
      </c>
      <c r="C952" s="473">
        <v>6</v>
      </c>
      <c r="D952" s="471">
        <v>36642</v>
      </c>
      <c r="E952" s="474">
        <v>41894</v>
      </c>
      <c r="F952" s="475" t="s">
        <v>468</v>
      </c>
      <c r="G952" s="476">
        <v>106</v>
      </c>
      <c r="H952" s="475" t="s">
        <v>692</v>
      </c>
      <c r="I952" s="478" t="s">
        <v>758</v>
      </c>
      <c r="J952" s="496">
        <f t="shared" si="29"/>
        <v>8617.0019999999986</v>
      </c>
    </row>
    <row r="953" spans="1:10" ht="20.25" customHeight="1">
      <c r="A953" s="471">
        <v>5211</v>
      </c>
      <c r="B953" s="472" t="s">
        <v>445</v>
      </c>
      <c r="C953" s="473">
        <v>7</v>
      </c>
      <c r="D953" s="471">
        <v>36642</v>
      </c>
      <c r="E953" s="474">
        <v>41894</v>
      </c>
      <c r="F953" s="475" t="s">
        <v>468</v>
      </c>
      <c r="G953" s="476">
        <v>106</v>
      </c>
      <c r="H953" s="475" t="s">
        <v>692</v>
      </c>
      <c r="I953" s="478" t="s">
        <v>758</v>
      </c>
      <c r="J953" s="496">
        <f t="shared" si="29"/>
        <v>8617.0019999999986</v>
      </c>
    </row>
    <row r="954" spans="1:10" ht="20.25" customHeight="1">
      <c r="A954" s="471">
        <v>5211</v>
      </c>
      <c r="B954" s="472" t="s">
        <v>445</v>
      </c>
      <c r="C954" s="473">
        <v>8</v>
      </c>
      <c r="D954" s="471">
        <v>36642</v>
      </c>
      <c r="E954" s="474">
        <v>41894</v>
      </c>
      <c r="F954" s="475" t="s">
        <v>468</v>
      </c>
      <c r="G954" s="476">
        <v>106</v>
      </c>
      <c r="H954" s="475" t="s">
        <v>692</v>
      </c>
      <c r="I954" s="478" t="s">
        <v>758</v>
      </c>
      <c r="J954" s="496">
        <f t="shared" si="29"/>
        <v>8617.0019999999986</v>
      </c>
    </row>
    <row r="955" spans="1:10" ht="20.25" customHeight="1">
      <c r="A955" s="471">
        <v>5211</v>
      </c>
      <c r="B955" s="472" t="s">
        <v>445</v>
      </c>
      <c r="C955" s="473">
        <v>9</v>
      </c>
      <c r="D955" s="471">
        <v>36642</v>
      </c>
      <c r="E955" s="474">
        <v>41894</v>
      </c>
      <c r="F955" s="475" t="s">
        <v>468</v>
      </c>
      <c r="G955" s="476">
        <v>106</v>
      </c>
      <c r="H955" s="475" t="s">
        <v>692</v>
      </c>
      <c r="I955" s="478" t="s">
        <v>758</v>
      </c>
      <c r="J955" s="496">
        <f t="shared" si="29"/>
        <v>8617.0019999999986</v>
      </c>
    </row>
    <row r="956" spans="1:10" ht="20.25" customHeight="1">
      <c r="A956" s="471">
        <v>5211</v>
      </c>
      <c r="B956" s="472" t="s">
        <v>445</v>
      </c>
      <c r="C956" s="473">
        <v>10</v>
      </c>
      <c r="D956" s="471">
        <v>36642</v>
      </c>
      <c r="E956" s="474">
        <v>41894</v>
      </c>
      <c r="F956" s="475" t="s">
        <v>468</v>
      </c>
      <c r="G956" s="476">
        <v>106</v>
      </c>
      <c r="H956" s="475" t="s">
        <v>692</v>
      </c>
      <c r="I956" s="478" t="s">
        <v>758</v>
      </c>
      <c r="J956" s="496">
        <f t="shared" si="29"/>
        <v>8617.0019999999986</v>
      </c>
    </row>
    <row r="957" spans="1:10" ht="20.25" customHeight="1">
      <c r="A957" s="471">
        <v>5211</v>
      </c>
      <c r="B957" s="472" t="s">
        <v>445</v>
      </c>
      <c r="C957" s="473">
        <v>11</v>
      </c>
      <c r="D957" s="471">
        <v>36642</v>
      </c>
      <c r="E957" s="474">
        <v>41894</v>
      </c>
      <c r="F957" s="475" t="s">
        <v>468</v>
      </c>
      <c r="G957" s="476">
        <v>106</v>
      </c>
      <c r="H957" s="475" t="s">
        <v>692</v>
      </c>
      <c r="I957" s="478" t="s">
        <v>758</v>
      </c>
      <c r="J957" s="496">
        <f t="shared" si="29"/>
        <v>8617.0019999999986</v>
      </c>
    </row>
    <row r="958" spans="1:10" ht="20.25" customHeight="1">
      <c r="A958" s="471">
        <v>5211</v>
      </c>
      <c r="B958" s="472" t="s">
        <v>445</v>
      </c>
      <c r="C958" s="473">
        <v>12</v>
      </c>
      <c r="D958" s="471">
        <v>36642</v>
      </c>
      <c r="E958" s="474">
        <v>41894</v>
      </c>
      <c r="F958" s="475" t="s">
        <v>468</v>
      </c>
      <c r="G958" s="476">
        <v>106</v>
      </c>
      <c r="H958" s="475" t="s">
        <v>692</v>
      </c>
      <c r="I958" s="478" t="s">
        <v>758</v>
      </c>
      <c r="J958" s="496">
        <f t="shared" si="29"/>
        <v>8617.0019999999986</v>
      </c>
    </row>
    <row r="959" spans="1:10" ht="20.25" customHeight="1">
      <c r="A959" s="471">
        <v>5211</v>
      </c>
      <c r="B959" s="472" t="s">
        <v>445</v>
      </c>
      <c r="C959" s="473">
        <v>13</v>
      </c>
      <c r="D959" s="471">
        <v>36642</v>
      </c>
      <c r="E959" s="474">
        <v>41894</v>
      </c>
      <c r="F959" s="475" t="s">
        <v>468</v>
      </c>
      <c r="G959" s="476">
        <v>106</v>
      </c>
      <c r="H959" s="475" t="s">
        <v>692</v>
      </c>
      <c r="I959" s="478" t="s">
        <v>758</v>
      </c>
      <c r="J959" s="496">
        <f t="shared" si="29"/>
        <v>8617.0019999999986</v>
      </c>
    </row>
    <row r="960" spans="1:10" ht="20.25" customHeight="1">
      <c r="A960" s="471">
        <v>5211</v>
      </c>
      <c r="B960" s="472" t="s">
        <v>445</v>
      </c>
      <c r="C960" s="473">
        <v>14</v>
      </c>
      <c r="D960" s="471">
        <v>36642</v>
      </c>
      <c r="E960" s="474">
        <v>41894</v>
      </c>
      <c r="F960" s="475" t="s">
        <v>468</v>
      </c>
      <c r="G960" s="476">
        <v>106</v>
      </c>
      <c r="H960" s="475" t="s">
        <v>692</v>
      </c>
      <c r="I960" s="478" t="s">
        <v>758</v>
      </c>
      <c r="J960" s="496">
        <f t="shared" si="29"/>
        <v>8617.0019999999986</v>
      </c>
    </row>
    <row r="961" spans="1:10" ht="20.25" customHeight="1">
      <c r="A961" s="471">
        <v>5211</v>
      </c>
      <c r="B961" s="472" t="s">
        <v>445</v>
      </c>
      <c r="C961" s="473">
        <v>15</v>
      </c>
      <c r="D961" s="471">
        <v>36642</v>
      </c>
      <c r="E961" s="474">
        <v>41894</v>
      </c>
      <c r="F961" s="475" t="s">
        <v>468</v>
      </c>
      <c r="G961" s="476">
        <v>106</v>
      </c>
      <c r="H961" s="475" t="s">
        <v>692</v>
      </c>
      <c r="I961" s="478" t="s">
        <v>758</v>
      </c>
      <c r="J961" s="496">
        <f t="shared" si="29"/>
        <v>8617.0019999999986</v>
      </c>
    </row>
    <row r="962" spans="1:10" ht="20.25" customHeight="1">
      <c r="A962" s="471">
        <v>5231</v>
      </c>
      <c r="B962" s="472" t="s">
        <v>445</v>
      </c>
      <c r="C962" s="473">
        <v>1</v>
      </c>
      <c r="D962" s="471" t="s">
        <v>759</v>
      </c>
      <c r="E962" s="474">
        <v>41787</v>
      </c>
      <c r="F962" s="475" t="s">
        <v>468</v>
      </c>
      <c r="G962" s="476">
        <v>107</v>
      </c>
      <c r="H962" s="475" t="s">
        <v>760</v>
      </c>
      <c r="I962" s="478" t="s">
        <v>761</v>
      </c>
      <c r="J962" s="496">
        <v>1398</v>
      </c>
    </row>
    <row r="963" spans="1:10" ht="20.25" customHeight="1">
      <c r="A963" s="471">
        <v>5231</v>
      </c>
      <c r="B963" s="472" t="s">
        <v>445</v>
      </c>
      <c r="C963" s="473">
        <v>2</v>
      </c>
      <c r="D963" s="471" t="s">
        <v>759</v>
      </c>
      <c r="E963" s="474">
        <v>41787</v>
      </c>
      <c r="F963" s="475" t="s">
        <v>468</v>
      </c>
      <c r="G963" s="476">
        <v>107</v>
      </c>
      <c r="H963" s="475" t="s">
        <v>760</v>
      </c>
      <c r="I963" s="478" t="s">
        <v>761</v>
      </c>
      <c r="J963" s="496">
        <v>1398</v>
      </c>
    </row>
    <row r="964" spans="1:10" ht="20.25" customHeight="1">
      <c r="A964" s="471">
        <v>5231</v>
      </c>
      <c r="B964" s="472" t="s">
        <v>445</v>
      </c>
      <c r="C964" s="473">
        <v>3</v>
      </c>
      <c r="D964" s="471" t="s">
        <v>759</v>
      </c>
      <c r="E964" s="474">
        <v>41787</v>
      </c>
      <c r="F964" s="475" t="s">
        <v>468</v>
      </c>
      <c r="G964" s="476">
        <v>107</v>
      </c>
      <c r="H964" s="475" t="s">
        <v>760</v>
      </c>
      <c r="I964" s="478" t="s">
        <v>761</v>
      </c>
      <c r="J964" s="496">
        <v>1398</v>
      </c>
    </row>
    <row r="965" spans="1:10" ht="20.25" customHeight="1">
      <c r="A965" s="471">
        <v>5291</v>
      </c>
      <c r="B965" s="477" t="s">
        <v>445</v>
      </c>
      <c r="C965" s="480">
        <v>1</v>
      </c>
      <c r="D965" s="478">
        <v>6</v>
      </c>
      <c r="E965" s="475">
        <v>38854</v>
      </c>
      <c r="F965" s="475" t="s">
        <v>446</v>
      </c>
      <c r="G965" s="476">
        <v>111</v>
      </c>
      <c r="H965" s="475" t="s">
        <v>762</v>
      </c>
      <c r="I965" s="478" t="s">
        <v>763</v>
      </c>
      <c r="J965" s="502">
        <f>19800*1.15</f>
        <v>22770</v>
      </c>
    </row>
    <row r="966" spans="1:10" ht="20.25" customHeight="1">
      <c r="A966" s="471">
        <v>5291</v>
      </c>
      <c r="B966" s="472" t="s">
        <v>445</v>
      </c>
      <c r="C966" s="473">
        <v>2</v>
      </c>
      <c r="D966" s="471">
        <v>6</v>
      </c>
      <c r="E966" s="474">
        <v>38854</v>
      </c>
      <c r="F966" s="475" t="s">
        <v>446</v>
      </c>
      <c r="G966" s="476">
        <v>112</v>
      </c>
      <c r="H966" s="475" t="s">
        <v>764</v>
      </c>
      <c r="I966" s="478" t="s">
        <v>765</v>
      </c>
      <c r="J966" s="496">
        <f>4180*1.15</f>
        <v>4807</v>
      </c>
    </row>
    <row r="967" spans="1:10" ht="20.25" customHeight="1">
      <c r="A967" s="471">
        <v>5291</v>
      </c>
      <c r="B967" s="472" t="s">
        <v>445</v>
      </c>
      <c r="C967" s="473" t="s">
        <v>766</v>
      </c>
      <c r="D967" s="471" t="s">
        <v>767</v>
      </c>
      <c r="E967" s="474">
        <v>39191</v>
      </c>
      <c r="F967" s="475" t="s">
        <v>446</v>
      </c>
      <c r="G967" s="476">
        <v>114</v>
      </c>
      <c r="H967" s="475" t="s">
        <v>768</v>
      </c>
      <c r="I967" s="478" t="s">
        <v>769</v>
      </c>
      <c r="J967" s="496">
        <v>41528.269999999997</v>
      </c>
    </row>
    <row r="968" spans="1:10" ht="20.25" customHeight="1">
      <c r="A968" s="471">
        <v>5291</v>
      </c>
      <c r="B968" s="472" t="s">
        <v>445</v>
      </c>
      <c r="C968" s="473">
        <v>12</v>
      </c>
      <c r="D968" s="471" t="s">
        <v>770</v>
      </c>
      <c r="E968" s="472">
        <v>40453</v>
      </c>
      <c r="F968" s="475" t="s">
        <v>446</v>
      </c>
      <c r="G968" s="476">
        <v>113</v>
      </c>
      <c r="H968" s="475" t="s">
        <v>771</v>
      </c>
      <c r="I968" s="498" t="s">
        <v>1492</v>
      </c>
      <c r="J968" s="499">
        <v>1113.5999999999999</v>
      </c>
    </row>
    <row r="969" spans="1:10" ht="20.25" customHeight="1">
      <c r="A969" s="471">
        <v>5291</v>
      </c>
      <c r="B969" s="472" t="s">
        <v>445</v>
      </c>
      <c r="C969" s="480">
        <v>13</v>
      </c>
      <c r="D969" s="471" t="s">
        <v>770</v>
      </c>
      <c r="E969" s="472">
        <v>40453</v>
      </c>
      <c r="F969" s="475" t="s">
        <v>446</v>
      </c>
      <c r="G969" s="476">
        <v>113</v>
      </c>
      <c r="H969" s="475" t="s">
        <v>771</v>
      </c>
      <c r="I969" s="498" t="s">
        <v>1492</v>
      </c>
      <c r="J969" s="499">
        <v>1113.5999999999999</v>
      </c>
    </row>
    <row r="970" spans="1:10" ht="20.25" customHeight="1">
      <c r="A970" s="471">
        <v>5291</v>
      </c>
      <c r="B970" s="472" t="s">
        <v>445</v>
      </c>
      <c r="C970" s="473">
        <v>14</v>
      </c>
      <c r="D970" s="471" t="s">
        <v>770</v>
      </c>
      <c r="E970" s="472">
        <v>40453</v>
      </c>
      <c r="F970" s="475" t="s">
        <v>446</v>
      </c>
      <c r="G970" s="476">
        <v>113</v>
      </c>
      <c r="H970" s="475" t="s">
        <v>771</v>
      </c>
      <c r="I970" s="498" t="s">
        <v>1492</v>
      </c>
      <c r="J970" s="499">
        <v>1113.5999999999999</v>
      </c>
    </row>
    <row r="971" spans="1:10" ht="20.25" customHeight="1">
      <c r="A971" s="471">
        <v>5291</v>
      </c>
      <c r="B971" s="472" t="s">
        <v>445</v>
      </c>
      <c r="C971" s="473">
        <v>15</v>
      </c>
      <c r="D971" s="471" t="s">
        <v>770</v>
      </c>
      <c r="E971" s="472">
        <v>40453</v>
      </c>
      <c r="F971" s="475" t="s">
        <v>446</v>
      </c>
      <c r="G971" s="476">
        <v>113</v>
      </c>
      <c r="H971" s="475" t="s">
        <v>771</v>
      </c>
      <c r="I971" s="498" t="s">
        <v>1492</v>
      </c>
      <c r="J971" s="499">
        <v>1113.5999999999999</v>
      </c>
    </row>
    <row r="972" spans="1:10" ht="20.25" customHeight="1">
      <c r="A972" s="471">
        <v>5291</v>
      </c>
      <c r="B972" s="472" t="s">
        <v>445</v>
      </c>
      <c r="C972" s="480">
        <v>16</v>
      </c>
      <c r="D972" s="471" t="s">
        <v>770</v>
      </c>
      <c r="E972" s="472">
        <v>40453</v>
      </c>
      <c r="F972" s="475" t="s">
        <v>446</v>
      </c>
      <c r="G972" s="476">
        <v>113</v>
      </c>
      <c r="H972" s="475" t="s">
        <v>771</v>
      </c>
      <c r="I972" s="498" t="s">
        <v>1492</v>
      </c>
      <c r="J972" s="499">
        <v>1113.5999999999999</v>
      </c>
    </row>
    <row r="973" spans="1:10" ht="20.25" customHeight="1">
      <c r="A973" s="471">
        <v>5291</v>
      </c>
      <c r="B973" s="472" t="s">
        <v>445</v>
      </c>
      <c r="C973" s="473">
        <v>17</v>
      </c>
      <c r="D973" s="471" t="s">
        <v>770</v>
      </c>
      <c r="E973" s="472">
        <v>40453</v>
      </c>
      <c r="F973" s="475" t="s">
        <v>446</v>
      </c>
      <c r="G973" s="476">
        <v>113</v>
      </c>
      <c r="H973" s="475" t="s">
        <v>771</v>
      </c>
      <c r="I973" s="498" t="s">
        <v>1493</v>
      </c>
      <c r="J973" s="499">
        <v>1113.5999999999999</v>
      </c>
    </row>
    <row r="974" spans="1:10" ht="20.25" customHeight="1">
      <c r="A974" s="471">
        <v>5291</v>
      </c>
      <c r="B974" s="472" t="s">
        <v>445</v>
      </c>
      <c r="C974" s="473">
        <v>18</v>
      </c>
      <c r="D974" s="471" t="s">
        <v>770</v>
      </c>
      <c r="E974" s="472">
        <v>40453</v>
      </c>
      <c r="F974" s="475" t="s">
        <v>446</v>
      </c>
      <c r="G974" s="476">
        <v>113</v>
      </c>
      <c r="H974" s="475" t="s">
        <v>771</v>
      </c>
      <c r="I974" s="498" t="s">
        <v>1494</v>
      </c>
      <c r="J974" s="499">
        <v>1983.6</v>
      </c>
    </row>
    <row r="975" spans="1:10" ht="20.25" customHeight="1">
      <c r="A975" s="471">
        <v>5291</v>
      </c>
      <c r="B975" s="472" t="s">
        <v>445</v>
      </c>
      <c r="C975" s="480">
        <v>19</v>
      </c>
      <c r="D975" s="471" t="s">
        <v>770</v>
      </c>
      <c r="E975" s="472">
        <v>40453</v>
      </c>
      <c r="F975" s="475" t="s">
        <v>446</v>
      </c>
      <c r="G975" s="476">
        <v>113</v>
      </c>
      <c r="H975" s="475" t="s">
        <v>771</v>
      </c>
      <c r="I975" s="498" t="s">
        <v>1495</v>
      </c>
      <c r="J975" s="499">
        <v>3793.2</v>
      </c>
    </row>
    <row r="976" spans="1:10" ht="20.25" customHeight="1">
      <c r="A976" s="471">
        <v>5291</v>
      </c>
      <c r="B976" s="472" t="s">
        <v>445</v>
      </c>
      <c r="C976" s="473">
        <v>20</v>
      </c>
      <c r="D976" s="471" t="s">
        <v>770</v>
      </c>
      <c r="E976" s="472">
        <v>40453</v>
      </c>
      <c r="F976" s="475" t="s">
        <v>446</v>
      </c>
      <c r="G976" s="476">
        <v>113</v>
      </c>
      <c r="H976" s="475" t="s">
        <v>771</v>
      </c>
      <c r="I976" s="498" t="s">
        <v>1496</v>
      </c>
      <c r="J976" s="499">
        <v>2157.6</v>
      </c>
    </row>
    <row r="977" spans="1:10" ht="20.25" customHeight="1">
      <c r="A977" s="471">
        <v>5291</v>
      </c>
      <c r="B977" s="472" t="s">
        <v>445</v>
      </c>
      <c r="C977" s="473">
        <v>21</v>
      </c>
      <c r="D977" s="471">
        <v>263</v>
      </c>
      <c r="E977" s="472">
        <v>40483</v>
      </c>
      <c r="F977" s="475" t="s">
        <v>446</v>
      </c>
      <c r="G977" s="476">
        <v>108</v>
      </c>
      <c r="H977" s="475" t="s">
        <v>772</v>
      </c>
      <c r="I977" s="498" t="s">
        <v>773</v>
      </c>
      <c r="J977" s="499">
        <v>162.4</v>
      </c>
    </row>
    <row r="978" spans="1:10" ht="20.25" customHeight="1">
      <c r="A978" s="471">
        <v>5291</v>
      </c>
      <c r="B978" s="472" t="s">
        <v>445</v>
      </c>
      <c r="C978" s="480">
        <v>22</v>
      </c>
      <c r="D978" s="471">
        <v>263</v>
      </c>
      <c r="E978" s="472">
        <v>40483</v>
      </c>
      <c r="F978" s="475" t="s">
        <v>446</v>
      </c>
      <c r="G978" s="476">
        <v>108</v>
      </c>
      <c r="H978" s="475" t="s">
        <v>772</v>
      </c>
      <c r="I978" s="498" t="s">
        <v>773</v>
      </c>
      <c r="J978" s="499">
        <v>162.4</v>
      </c>
    </row>
    <row r="979" spans="1:10" ht="20.25" customHeight="1">
      <c r="A979" s="471">
        <v>5291</v>
      </c>
      <c r="B979" s="472" t="s">
        <v>445</v>
      </c>
      <c r="C979" s="473">
        <v>23</v>
      </c>
      <c r="D979" s="471">
        <v>263</v>
      </c>
      <c r="E979" s="472">
        <v>40483</v>
      </c>
      <c r="F979" s="475" t="s">
        <v>446</v>
      </c>
      <c r="G979" s="476">
        <v>109</v>
      </c>
      <c r="H979" s="475" t="s">
        <v>774</v>
      </c>
      <c r="I979" s="498" t="s">
        <v>775</v>
      </c>
      <c r="J979" s="499">
        <v>34.799999999999997</v>
      </c>
    </row>
    <row r="980" spans="1:10" ht="20.25" customHeight="1">
      <c r="A980" s="471">
        <v>5291</v>
      </c>
      <c r="B980" s="472" t="s">
        <v>445</v>
      </c>
      <c r="C980" s="473">
        <v>24</v>
      </c>
      <c r="D980" s="471">
        <v>263</v>
      </c>
      <c r="E980" s="472">
        <v>40483</v>
      </c>
      <c r="F980" s="475" t="s">
        <v>446</v>
      </c>
      <c r="G980" s="476">
        <v>109</v>
      </c>
      <c r="H980" s="475" t="s">
        <v>774</v>
      </c>
      <c r="I980" s="498" t="s">
        <v>775</v>
      </c>
      <c r="J980" s="499">
        <v>34.799999999999997</v>
      </c>
    </row>
    <row r="981" spans="1:10" ht="20.25" customHeight="1">
      <c r="A981" s="471">
        <v>5291</v>
      </c>
      <c r="B981" s="472" t="s">
        <v>445</v>
      </c>
      <c r="C981" s="480">
        <v>25</v>
      </c>
      <c r="D981" s="471">
        <v>263</v>
      </c>
      <c r="E981" s="472">
        <v>40483</v>
      </c>
      <c r="F981" s="475" t="s">
        <v>446</v>
      </c>
      <c r="G981" s="476">
        <v>110</v>
      </c>
      <c r="H981" s="475" t="s">
        <v>776</v>
      </c>
      <c r="I981" s="498" t="s">
        <v>777</v>
      </c>
      <c r="J981" s="499">
        <v>812</v>
      </c>
    </row>
    <row r="982" spans="1:10" ht="20.25" customHeight="1">
      <c r="A982" s="471">
        <v>5291</v>
      </c>
      <c r="B982" s="472" t="s">
        <v>445</v>
      </c>
      <c r="C982" s="473">
        <v>26</v>
      </c>
      <c r="D982" s="471">
        <v>263</v>
      </c>
      <c r="E982" s="472">
        <v>40483</v>
      </c>
      <c r="F982" s="475" t="s">
        <v>446</v>
      </c>
      <c r="G982" s="476">
        <v>110</v>
      </c>
      <c r="H982" s="475" t="s">
        <v>776</v>
      </c>
      <c r="I982" s="498" t="s">
        <v>777</v>
      </c>
      <c r="J982" s="499">
        <v>812</v>
      </c>
    </row>
    <row r="983" spans="1:10" ht="20.25" customHeight="1">
      <c r="A983" s="471">
        <v>5291</v>
      </c>
      <c r="B983" s="472" t="s">
        <v>445</v>
      </c>
      <c r="C983" s="473">
        <v>27</v>
      </c>
      <c r="D983" s="471">
        <v>299</v>
      </c>
      <c r="E983" s="474">
        <v>40985</v>
      </c>
      <c r="F983" s="475" t="s">
        <v>446</v>
      </c>
      <c r="G983" s="476">
        <v>115</v>
      </c>
      <c r="H983" s="475" t="s">
        <v>778</v>
      </c>
      <c r="I983" s="478" t="s">
        <v>779</v>
      </c>
      <c r="J983" s="496">
        <f>198.28*1.16</f>
        <v>230.00479999999999</v>
      </c>
    </row>
    <row r="984" spans="1:10" ht="20.25" customHeight="1">
      <c r="A984" s="471">
        <v>5291</v>
      </c>
      <c r="B984" s="472" t="s">
        <v>445</v>
      </c>
      <c r="C984" s="480">
        <v>28</v>
      </c>
      <c r="D984" s="471">
        <v>299</v>
      </c>
      <c r="E984" s="474">
        <v>40985</v>
      </c>
      <c r="F984" s="475" t="s">
        <v>446</v>
      </c>
      <c r="G984" s="476">
        <v>115</v>
      </c>
      <c r="H984" s="475" t="s">
        <v>778</v>
      </c>
      <c r="I984" s="478" t="s">
        <v>780</v>
      </c>
      <c r="J984" s="496">
        <f>125.86*1.16</f>
        <v>145.99759999999998</v>
      </c>
    </row>
    <row r="985" spans="1:10" ht="20.25" customHeight="1">
      <c r="A985" s="471">
        <v>5291</v>
      </c>
      <c r="B985" s="472" t="s">
        <v>445</v>
      </c>
      <c r="C985" s="473">
        <v>29</v>
      </c>
      <c r="D985" s="471">
        <v>299</v>
      </c>
      <c r="E985" s="474">
        <v>40985</v>
      </c>
      <c r="F985" s="475" t="s">
        <v>446</v>
      </c>
      <c r="G985" s="476">
        <v>115</v>
      </c>
      <c r="H985" s="475" t="s">
        <v>778</v>
      </c>
      <c r="I985" s="478" t="s">
        <v>781</v>
      </c>
      <c r="J985" s="496">
        <f>59.48*1.16</f>
        <v>68.996799999999993</v>
      </c>
    </row>
    <row r="986" spans="1:10" ht="20.25" customHeight="1">
      <c r="A986" s="471">
        <v>5291</v>
      </c>
      <c r="B986" s="472" t="s">
        <v>445</v>
      </c>
      <c r="C986" s="473">
        <v>30</v>
      </c>
      <c r="D986" s="471">
        <v>299</v>
      </c>
      <c r="E986" s="474">
        <v>40985</v>
      </c>
      <c r="F986" s="475" t="s">
        <v>446</v>
      </c>
      <c r="G986" s="476">
        <v>115</v>
      </c>
      <c r="H986" s="475" t="s">
        <v>778</v>
      </c>
      <c r="I986" s="478" t="s">
        <v>782</v>
      </c>
      <c r="J986" s="496">
        <v>409.98</v>
      </c>
    </row>
    <row r="987" spans="1:10" ht="20.25" customHeight="1">
      <c r="A987" s="471">
        <v>5291</v>
      </c>
      <c r="B987" s="472" t="s">
        <v>445</v>
      </c>
      <c r="C987" s="480">
        <v>31</v>
      </c>
      <c r="D987" s="471" t="s">
        <v>783</v>
      </c>
      <c r="E987" s="474">
        <v>40991</v>
      </c>
      <c r="F987" s="475" t="s">
        <v>446</v>
      </c>
      <c r="G987" s="476">
        <v>115</v>
      </c>
      <c r="H987" s="475" t="s">
        <v>778</v>
      </c>
      <c r="I987" s="478" t="s">
        <v>784</v>
      </c>
      <c r="J987" s="496">
        <f>699*1.16</f>
        <v>810.83999999999992</v>
      </c>
    </row>
    <row r="988" spans="1:10" ht="20.25" customHeight="1">
      <c r="A988" s="471">
        <v>5291</v>
      </c>
      <c r="B988" s="472" t="s">
        <v>445</v>
      </c>
      <c r="C988" s="473">
        <v>32</v>
      </c>
      <c r="D988" s="471" t="s">
        <v>783</v>
      </c>
      <c r="E988" s="474">
        <v>40991</v>
      </c>
      <c r="F988" s="475" t="s">
        <v>446</v>
      </c>
      <c r="G988" s="476">
        <v>115</v>
      </c>
      <c r="H988" s="475" t="s">
        <v>778</v>
      </c>
      <c r="I988" s="478" t="s">
        <v>785</v>
      </c>
      <c r="J988" s="496">
        <f>75*1.16</f>
        <v>87</v>
      </c>
    </row>
    <row r="989" spans="1:10" ht="20.25" customHeight="1">
      <c r="A989" s="471">
        <v>5291</v>
      </c>
      <c r="B989" s="472" t="s">
        <v>445</v>
      </c>
      <c r="C989" s="473">
        <v>33</v>
      </c>
      <c r="D989" s="471" t="s">
        <v>783</v>
      </c>
      <c r="E989" s="474">
        <v>40991</v>
      </c>
      <c r="F989" s="475" t="s">
        <v>446</v>
      </c>
      <c r="G989" s="476">
        <v>115</v>
      </c>
      <c r="H989" s="475" t="s">
        <v>778</v>
      </c>
      <c r="I989" s="478" t="s">
        <v>786</v>
      </c>
      <c r="J989" s="496">
        <f>75*1.16</f>
        <v>87</v>
      </c>
    </row>
    <row r="990" spans="1:10" ht="20.25" customHeight="1">
      <c r="A990" s="471">
        <v>5291</v>
      </c>
      <c r="B990" s="472" t="s">
        <v>445</v>
      </c>
      <c r="C990" s="480">
        <v>34</v>
      </c>
      <c r="D990" s="471" t="s">
        <v>783</v>
      </c>
      <c r="E990" s="474">
        <v>40991</v>
      </c>
      <c r="F990" s="475" t="s">
        <v>446</v>
      </c>
      <c r="G990" s="476">
        <v>115</v>
      </c>
      <c r="H990" s="475" t="s">
        <v>778</v>
      </c>
      <c r="I990" s="478" t="s">
        <v>787</v>
      </c>
      <c r="J990" s="496">
        <f>699*1.16</f>
        <v>810.83999999999992</v>
      </c>
    </row>
    <row r="991" spans="1:10" ht="20.25" customHeight="1">
      <c r="A991" s="471">
        <v>5291</v>
      </c>
      <c r="B991" s="472" t="s">
        <v>445</v>
      </c>
      <c r="C991" s="473">
        <v>35</v>
      </c>
      <c r="D991" s="471" t="s">
        <v>783</v>
      </c>
      <c r="E991" s="474">
        <v>40991</v>
      </c>
      <c r="F991" s="475" t="s">
        <v>446</v>
      </c>
      <c r="G991" s="476">
        <v>115</v>
      </c>
      <c r="H991" s="475" t="s">
        <v>778</v>
      </c>
      <c r="I991" s="478" t="s">
        <v>788</v>
      </c>
      <c r="J991" s="496">
        <f>200*1.16</f>
        <v>231.99999999999997</v>
      </c>
    </row>
    <row r="992" spans="1:10" ht="20.25" customHeight="1">
      <c r="A992" s="471">
        <v>5291</v>
      </c>
      <c r="B992" s="472" t="s">
        <v>445</v>
      </c>
      <c r="C992" s="473">
        <v>36</v>
      </c>
      <c r="D992" s="471" t="s">
        <v>783</v>
      </c>
      <c r="E992" s="474">
        <v>40991</v>
      </c>
      <c r="F992" s="475" t="s">
        <v>446</v>
      </c>
      <c r="G992" s="476">
        <v>115</v>
      </c>
      <c r="H992" s="475" t="s">
        <v>778</v>
      </c>
      <c r="I992" s="478" t="s">
        <v>789</v>
      </c>
      <c r="J992" s="496">
        <f>248*1.16</f>
        <v>287.68</v>
      </c>
    </row>
    <row r="993" spans="1:10" ht="20.25" customHeight="1">
      <c r="A993" s="471">
        <v>5291</v>
      </c>
      <c r="B993" s="472" t="s">
        <v>445</v>
      </c>
      <c r="C993" s="480">
        <v>37</v>
      </c>
      <c r="D993" s="471" t="s">
        <v>783</v>
      </c>
      <c r="E993" s="474">
        <v>40991</v>
      </c>
      <c r="F993" s="475" t="s">
        <v>446</v>
      </c>
      <c r="G993" s="476">
        <v>115</v>
      </c>
      <c r="H993" s="475" t="s">
        <v>778</v>
      </c>
      <c r="I993" s="478" t="s">
        <v>790</v>
      </c>
      <c r="J993" s="496">
        <f>200*1.16</f>
        <v>231.99999999999997</v>
      </c>
    </row>
    <row r="994" spans="1:10" ht="20.25" customHeight="1">
      <c r="A994" s="471">
        <v>5291</v>
      </c>
      <c r="B994" s="472" t="s">
        <v>445</v>
      </c>
      <c r="C994" s="473">
        <v>38</v>
      </c>
      <c r="D994" s="471" t="s">
        <v>791</v>
      </c>
      <c r="E994" s="474">
        <v>41562</v>
      </c>
      <c r="F994" s="475" t="s">
        <v>446</v>
      </c>
      <c r="G994" s="476">
        <v>115</v>
      </c>
      <c r="H994" s="475" t="s">
        <v>778</v>
      </c>
      <c r="I994" s="478" t="s">
        <v>792</v>
      </c>
      <c r="J994" s="497">
        <v>7540</v>
      </c>
    </row>
    <row r="995" spans="1:10" ht="20.25" customHeight="1">
      <c r="A995" s="471">
        <v>5311</v>
      </c>
      <c r="B995" s="472" t="s">
        <v>445</v>
      </c>
      <c r="C995" s="473">
        <v>2</v>
      </c>
      <c r="D995" s="471">
        <v>42199</v>
      </c>
      <c r="E995" s="474">
        <v>39171</v>
      </c>
      <c r="F995" s="475" t="s">
        <v>446</v>
      </c>
      <c r="G995" s="476">
        <v>117</v>
      </c>
      <c r="H995" s="475" t="s">
        <v>793</v>
      </c>
      <c r="I995" s="478" t="s">
        <v>794</v>
      </c>
      <c r="J995" s="496">
        <f>1003.5*1.15</f>
        <v>1154.0249999999999</v>
      </c>
    </row>
    <row r="996" spans="1:10" ht="20.25" customHeight="1">
      <c r="A996" s="471">
        <v>5311</v>
      </c>
      <c r="B996" s="472" t="s">
        <v>445</v>
      </c>
      <c r="C996" s="473">
        <v>3</v>
      </c>
      <c r="D996" s="471">
        <v>42199</v>
      </c>
      <c r="E996" s="474">
        <v>39171</v>
      </c>
      <c r="F996" s="475" t="s">
        <v>446</v>
      </c>
      <c r="G996" s="476">
        <v>118</v>
      </c>
      <c r="H996" s="475" t="s">
        <v>795</v>
      </c>
      <c r="I996" s="478" t="s">
        <v>796</v>
      </c>
      <c r="J996" s="496">
        <v>6095</v>
      </c>
    </row>
    <row r="997" spans="1:10" ht="20.25" customHeight="1">
      <c r="A997" s="471">
        <v>5311</v>
      </c>
      <c r="B997" s="474" t="s">
        <v>445</v>
      </c>
      <c r="C997" s="473">
        <v>4</v>
      </c>
      <c r="D997" s="471">
        <v>13127</v>
      </c>
      <c r="E997" s="474">
        <v>39336</v>
      </c>
      <c r="F997" s="475" t="s">
        <v>446</v>
      </c>
      <c r="G997" s="476">
        <v>119</v>
      </c>
      <c r="H997" s="475" t="s">
        <v>797</v>
      </c>
      <c r="I997" s="478" t="s">
        <v>798</v>
      </c>
      <c r="J997" s="497">
        <v>1144.48</v>
      </c>
    </row>
    <row r="998" spans="1:10" ht="20.25" customHeight="1">
      <c r="A998" s="471">
        <v>5311</v>
      </c>
      <c r="B998" s="474" t="s">
        <v>445</v>
      </c>
      <c r="C998" s="473">
        <v>5</v>
      </c>
      <c r="D998" s="471">
        <v>13127</v>
      </c>
      <c r="E998" s="474">
        <v>39336</v>
      </c>
      <c r="F998" s="475" t="s">
        <v>446</v>
      </c>
      <c r="G998" s="476">
        <v>119</v>
      </c>
      <c r="H998" s="475" t="s">
        <v>797</v>
      </c>
      <c r="I998" s="478" t="s">
        <v>798</v>
      </c>
      <c r="J998" s="497">
        <v>1144.48</v>
      </c>
    </row>
    <row r="999" spans="1:10" ht="20.25" customHeight="1">
      <c r="A999" s="471">
        <v>5311</v>
      </c>
      <c r="B999" s="474" t="s">
        <v>445</v>
      </c>
      <c r="C999" s="473">
        <v>6</v>
      </c>
      <c r="D999" s="471">
        <v>13127</v>
      </c>
      <c r="E999" s="474">
        <v>39336</v>
      </c>
      <c r="F999" s="475" t="s">
        <v>446</v>
      </c>
      <c r="G999" s="476">
        <v>119</v>
      </c>
      <c r="H999" s="475" t="s">
        <v>797</v>
      </c>
      <c r="I999" s="478" t="s">
        <v>798</v>
      </c>
      <c r="J999" s="497">
        <v>1144.48</v>
      </c>
    </row>
    <row r="1000" spans="1:10" ht="20.25" customHeight="1">
      <c r="A1000" s="471">
        <v>5311</v>
      </c>
      <c r="B1000" s="474" t="s">
        <v>445</v>
      </c>
      <c r="C1000" s="473">
        <v>7</v>
      </c>
      <c r="D1000" s="471">
        <v>13127</v>
      </c>
      <c r="E1000" s="474">
        <v>39336</v>
      </c>
      <c r="F1000" s="475" t="s">
        <v>446</v>
      </c>
      <c r="G1000" s="476">
        <v>119</v>
      </c>
      <c r="H1000" s="475" t="s">
        <v>797</v>
      </c>
      <c r="I1000" s="478" t="s">
        <v>798</v>
      </c>
      <c r="J1000" s="497">
        <v>1144.48</v>
      </c>
    </row>
    <row r="1001" spans="1:10" ht="20.25" customHeight="1">
      <c r="A1001" s="471">
        <v>5311</v>
      </c>
      <c r="B1001" s="474" t="s">
        <v>445</v>
      </c>
      <c r="C1001" s="473">
        <v>8</v>
      </c>
      <c r="D1001" s="471">
        <v>13127</v>
      </c>
      <c r="E1001" s="474">
        <v>39336</v>
      </c>
      <c r="F1001" s="475" t="s">
        <v>446</v>
      </c>
      <c r="G1001" s="476">
        <v>119</v>
      </c>
      <c r="H1001" s="475" t="s">
        <v>797</v>
      </c>
      <c r="I1001" s="478" t="s">
        <v>798</v>
      </c>
      <c r="J1001" s="497">
        <v>1144.48</v>
      </c>
    </row>
    <row r="1002" spans="1:10" ht="20.25" customHeight="1">
      <c r="A1002" s="471">
        <v>5311</v>
      </c>
      <c r="B1002" s="474" t="s">
        <v>445</v>
      </c>
      <c r="C1002" s="473">
        <v>9</v>
      </c>
      <c r="D1002" s="471">
        <v>13127</v>
      </c>
      <c r="E1002" s="474">
        <v>39336</v>
      </c>
      <c r="F1002" s="475" t="s">
        <v>446</v>
      </c>
      <c r="G1002" s="476">
        <v>119</v>
      </c>
      <c r="H1002" s="475" t="s">
        <v>797</v>
      </c>
      <c r="I1002" s="478" t="s">
        <v>798</v>
      </c>
      <c r="J1002" s="497">
        <v>1144.48</v>
      </c>
    </row>
    <row r="1003" spans="1:10" ht="20.25" customHeight="1">
      <c r="A1003" s="471">
        <v>5311</v>
      </c>
      <c r="B1003" s="474" t="s">
        <v>445</v>
      </c>
      <c r="C1003" s="473">
        <v>10</v>
      </c>
      <c r="D1003" s="471">
        <v>13127</v>
      </c>
      <c r="E1003" s="474">
        <v>39336</v>
      </c>
      <c r="F1003" s="475" t="s">
        <v>446</v>
      </c>
      <c r="G1003" s="476">
        <v>119</v>
      </c>
      <c r="H1003" s="475" t="s">
        <v>797</v>
      </c>
      <c r="I1003" s="478" t="s">
        <v>798</v>
      </c>
      <c r="J1003" s="497">
        <v>1144.48</v>
      </c>
    </row>
    <row r="1004" spans="1:10" ht="20.25" customHeight="1">
      <c r="A1004" s="471">
        <v>5311</v>
      </c>
      <c r="B1004" s="474" t="s">
        <v>445</v>
      </c>
      <c r="C1004" s="473">
        <v>11</v>
      </c>
      <c r="D1004" s="471">
        <v>13127</v>
      </c>
      <c r="E1004" s="474">
        <v>39336</v>
      </c>
      <c r="F1004" s="475" t="s">
        <v>446</v>
      </c>
      <c r="G1004" s="476">
        <v>119</v>
      </c>
      <c r="H1004" s="475" t="s">
        <v>797</v>
      </c>
      <c r="I1004" s="478" t="s">
        <v>798</v>
      </c>
      <c r="J1004" s="497">
        <v>1144.48</v>
      </c>
    </row>
    <row r="1005" spans="1:10" ht="20.25" customHeight="1">
      <c r="A1005" s="471">
        <v>5311</v>
      </c>
      <c r="B1005" s="474" t="s">
        <v>445</v>
      </c>
      <c r="C1005" s="473">
        <v>12</v>
      </c>
      <c r="D1005" s="471">
        <v>13127</v>
      </c>
      <c r="E1005" s="474">
        <v>39336</v>
      </c>
      <c r="F1005" s="475" t="s">
        <v>446</v>
      </c>
      <c r="G1005" s="476">
        <v>119</v>
      </c>
      <c r="H1005" s="475" t="s">
        <v>797</v>
      </c>
      <c r="I1005" s="478" t="s">
        <v>798</v>
      </c>
      <c r="J1005" s="497">
        <v>1144.48</v>
      </c>
    </row>
    <row r="1006" spans="1:10" ht="20.25" customHeight="1">
      <c r="A1006" s="471">
        <v>5311</v>
      </c>
      <c r="B1006" s="474" t="s">
        <v>445</v>
      </c>
      <c r="C1006" s="473">
        <v>13</v>
      </c>
      <c r="D1006" s="471">
        <v>13127</v>
      </c>
      <c r="E1006" s="474">
        <v>39336</v>
      </c>
      <c r="F1006" s="475" t="s">
        <v>446</v>
      </c>
      <c r="G1006" s="476">
        <v>119</v>
      </c>
      <c r="H1006" s="475" t="s">
        <v>797</v>
      </c>
      <c r="I1006" s="478" t="s">
        <v>798</v>
      </c>
      <c r="J1006" s="497">
        <v>1144.48</v>
      </c>
    </row>
    <row r="1007" spans="1:10" ht="20.25" customHeight="1">
      <c r="A1007" s="471">
        <v>5311</v>
      </c>
      <c r="B1007" s="474" t="s">
        <v>445</v>
      </c>
      <c r="C1007" s="473">
        <v>14</v>
      </c>
      <c r="D1007" s="471">
        <v>13127</v>
      </c>
      <c r="E1007" s="474">
        <v>39336</v>
      </c>
      <c r="F1007" s="475" t="s">
        <v>446</v>
      </c>
      <c r="G1007" s="476">
        <v>119</v>
      </c>
      <c r="H1007" s="475" t="s">
        <v>797</v>
      </c>
      <c r="I1007" s="478" t="s">
        <v>798</v>
      </c>
      <c r="J1007" s="497">
        <v>1144.48</v>
      </c>
    </row>
    <row r="1008" spans="1:10" ht="20.25" customHeight="1">
      <c r="A1008" s="471">
        <v>5311</v>
      </c>
      <c r="B1008" s="474" t="s">
        <v>445</v>
      </c>
      <c r="C1008" s="473">
        <v>15</v>
      </c>
      <c r="D1008" s="471">
        <v>13127</v>
      </c>
      <c r="E1008" s="474">
        <v>39336</v>
      </c>
      <c r="F1008" s="475" t="s">
        <v>446</v>
      </c>
      <c r="G1008" s="476">
        <v>119</v>
      </c>
      <c r="H1008" s="475" t="s">
        <v>797</v>
      </c>
      <c r="I1008" s="478" t="s">
        <v>798</v>
      </c>
      <c r="J1008" s="497">
        <v>1144.48</v>
      </c>
    </row>
    <row r="1009" spans="1:10" ht="20.25" customHeight="1">
      <c r="A1009" s="471">
        <v>5311</v>
      </c>
      <c r="B1009" s="474" t="s">
        <v>445</v>
      </c>
      <c r="C1009" s="473">
        <v>16</v>
      </c>
      <c r="D1009" s="471">
        <v>13127</v>
      </c>
      <c r="E1009" s="474">
        <v>39336</v>
      </c>
      <c r="F1009" s="475" t="s">
        <v>446</v>
      </c>
      <c r="G1009" s="476">
        <v>119</v>
      </c>
      <c r="H1009" s="475" t="s">
        <v>797</v>
      </c>
      <c r="I1009" s="478" t="s">
        <v>798</v>
      </c>
      <c r="J1009" s="497">
        <v>1144.48</v>
      </c>
    </row>
    <row r="1010" spans="1:10" ht="20.25" customHeight="1">
      <c r="A1010" s="471">
        <v>5311</v>
      </c>
      <c r="B1010" s="474" t="s">
        <v>445</v>
      </c>
      <c r="C1010" s="473">
        <v>17</v>
      </c>
      <c r="D1010" s="471">
        <v>13127</v>
      </c>
      <c r="E1010" s="474">
        <v>39336</v>
      </c>
      <c r="F1010" s="475" t="s">
        <v>446</v>
      </c>
      <c r="G1010" s="476">
        <v>119</v>
      </c>
      <c r="H1010" s="475" t="s">
        <v>797</v>
      </c>
      <c r="I1010" s="478" t="s">
        <v>798</v>
      </c>
      <c r="J1010" s="497">
        <v>1144.48</v>
      </c>
    </row>
    <row r="1011" spans="1:10" ht="20.25" customHeight="1">
      <c r="A1011" s="471">
        <v>5311</v>
      </c>
      <c r="B1011" s="474" t="s">
        <v>445</v>
      </c>
      <c r="C1011" s="473">
        <v>18</v>
      </c>
      <c r="D1011" s="471">
        <v>13127</v>
      </c>
      <c r="E1011" s="474">
        <v>39336</v>
      </c>
      <c r="F1011" s="475" t="s">
        <v>446</v>
      </c>
      <c r="G1011" s="476">
        <v>119</v>
      </c>
      <c r="H1011" s="475" t="s">
        <v>797</v>
      </c>
      <c r="I1011" s="478" t="s">
        <v>798</v>
      </c>
      <c r="J1011" s="497">
        <v>1144.48</v>
      </c>
    </row>
    <row r="1012" spans="1:10" ht="20.25" customHeight="1">
      <c r="A1012" s="471">
        <v>5311</v>
      </c>
      <c r="B1012" s="474" t="s">
        <v>445</v>
      </c>
      <c r="C1012" s="473">
        <v>19</v>
      </c>
      <c r="D1012" s="471">
        <v>13127</v>
      </c>
      <c r="E1012" s="474">
        <v>39336</v>
      </c>
      <c r="F1012" s="475" t="s">
        <v>446</v>
      </c>
      <c r="G1012" s="476">
        <v>119</v>
      </c>
      <c r="H1012" s="475" t="s">
        <v>797</v>
      </c>
      <c r="I1012" s="478" t="s">
        <v>798</v>
      </c>
      <c r="J1012" s="497">
        <v>1144.48</v>
      </c>
    </row>
    <row r="1013" spans="1:10" ht="20.25" customHeight="1">
      <c r="A1013" s="471">
        <v>5311</v>
      </c>
      <c r="B1013" s="474" t="s">
        <v>445</v>
      </c>
      <c r="C1013" s="473">
        <v>20</v>
      </c>
      <c r="D1013" s="471">
        <v>13127</v>
      </c>
      <c r="E1013" s="474">
        <v>39336</v>
      </c>
      <c r="F1013" s="475" t="s">
        <v>446</v>
      </c>
      <c r="G1013" s="476">
        <v>119</v>
      </c>
      <c r="H1013" s="475" t="s">
        <v>797</v>
      </c>
      <c r="I1013" s="478" t="s">
        <v>798</v>
      </c>
      <c r="J1013" s="497">
        <v>1144.48</v>
      </c>
    </row>
    <row r="1014" spans="1:10" ht="20.25" customHeight="1">
      <c r="A1014" s="471">
        <v>5311</v>
      </c>
      <c r="B1014" s="474" t="s">
        <v>445</v>
      </c>
      <c r="C1014" s="473">
        <v>21</v>
      </c>
      <c r="D1014" s="471">
        <v>13127</v>
      </c>
      <c r="E1014" s="474">
        <v>39336</v>
      </c>
      <c r="F1014" s="475" t="s">
        <v>446</v>
      </c>
      <c r="G1014" s="476">
        <v>119</v>
      </c>
      <c r="H1014" s="475" t="s">
        <v>797</v>
      </c>
      <c r="I1014" s="478" t="s">
        <v>798</v>
      </c>
      <c r="J1014" s="497">
        <v>1144.48</v>
      </c>
    </row>
    <row r="1015" spans="1:10" ht="20.25" customHeight="1">
      <c r="A1015" s="471">
        <v>5311</v>
      </c>
      <c r="B1015" s="474" t="s">
        <v>445</v>
      </c>
      <c r="C1015" s="473">
        <v>22</v>
      </c>
      <c r="D1015" s="471">
        <v>13127</v>
      </c>
      <c r="E1015" s="474">
        <v>39336</v>
      </c>
      <c r="F1015" s="475" t="s">
        <v>446</v>
      </c>
      <c r="G1015" s="476">
        <v>119</v>
      </c>
      <c r="H1015" s="475" t="s">
        <v>797</v>
      </c>
      <c r="I1015" s="478" t="s">
        <v>799</v>
      </c>
      <c r="J1015" s="497">
        <v>1144.48</v>
      </c>
    </row>
    <row r="1016" spans="1:10" ht="20.25" customHeight="1">
      <c r="A1016" s="471">
        <v>5311</v>
      </c>
      <c r="B1016" s="474" t="s">
        <v>445</v>
      </c>
      <c r="C1016" s="473">
        <v>23</v>
      </c>
      <c r="D1016" s="471">
        <v>13127</v>
      </c>
      <c r="E1016" s="474">
        <v>39336</v>
      </c>
      <c r="F1016" s="475" t="s">
        <v>446</v>
      </c>
      <c r="G1016" s="476">
        <v>119</v>
      </c>
      <c r="H1016" s="475" t="s">
        <v>797</v>
      </c>
      <c r="I1016" s="478" t="s">
        <v>798</v>
      </c>
      <c r="J1016" s="497">
        <v>1144.48</v>
      </c>
    </row>
    <row r="1017" spans="1:10" ht="20.25" customHeight="1">
      <c r="A1017" s="471">
        <v>5311</v>
      </c>
      <c r="B1017" s="472" t="s">
        <v>445</v>
      </c>
      <c r="C1017" s="473">
        <v>24</v>
      </c>
      <c r="D1017" s="471">
        <v>13127</v>
      </c>
      <c r="E1017" s="474">
        <v>39336</v>
      </c>
      <c r="F1017" s="475" t="s">
        <v>446</v>
      </c>
      <c r="G1017" s="476">
        <v>119</v>
      </c>
      <c r="H1017" s="475" t="s">
        <v>797</v>
      </c>
      <c r="I1017" s="478" t="s">
        <v>800</v>
      </c>
      <c r="J1017" s="497">
        <v>59154.97</v>
      </c>
    </row>
    <row r="1018" spans="1:10" ht="20.25" customHeight="1">
      <c r="A1018" s="471">
        <v>5311</v>
      </c>
      <c r="B1018" s="472" t="s">
        <v>445</v>
      </c>
      <c r="C1018" s="473">
        <v>25</v>
      </c>
      <c r="D1018" s="471">
        <v>4065</v>
      </c>
      <c r="E1018" s="474">
        <v>39811</v>
      </c>
      <c r="F1018" s="475" t="s">
        <v>446</v>
      </c>
      <c r="G1018" s="476">
        <v>116</v>
      </c>
      <c r="H1018" s="475" t="s">
        <v>801</v>
      </c>
      <c r="I1018" s="478" t="s">
        <v>802</v>
      </c>
      <c r="J1018" s="496">
        <f>1820*1.15</f>
        <v>2093</v>
      </c>
    </row>
    <row r="1019" spans="1:10" ht="20.25" customHeight="1">
      <c r="A1019" s="471">
        <v>5311</v>
      </c>
      <c r="B1019" s="472" t="s">
        <v>445</v>
      </c>
      <c r="C1019" s="473">
        <v>26</v>
      </c>
      <c r="D1019" s="471">
        <v>4065</v>
      </c>
      <c r="E1019" s="474">
        <v>39811</v>
      </c>
      <c r="F1019" s="475" t="s">
        <v>446</v>
      </c>
      <c r="G1019" s="476">
        <v>116</v>
      </c>
      <c r="H1019" s="475" t="s">
        <v>801</v>
      </c>
      <c r="I1019" s="478" t="s">
        <v>803</v>
      </c>
      <c r="J1019" s="496">
        <f>(845*1.15)/5</f>
        <v>194.34999999999997</v>
      </c>
    </row>
    <row r="1020" spans="1:10" ht="20.25" customHeight="1">
      <c r="A1020" s="471">
        <v>5311</v>
      </c>
      <c r="B1020" s="472" t="s">
        <v>445</v>
      </c>
      <c r="C1020" s="473">
        <v>27</v>
      </c>
      <c r="D1020" s="471">
        <v>4065</v>
      </c>
      <c r="E1020" s="474">
        <v>39811</v>
      </c>
      <c r="F1020" s="475" t="s">
        <v>446</v>
      </c>
      <c r="G1020" s="476">
        <v>116</v>
      </c>
      <c r="H1020" s="475" t="s">
        <v>801</v>
      </c>
      <c r="I1020" s="478" t="s">
        <v>803</v>
      </c>
      <c r="J1020" s="496">
        <f>(845*1.15)/5</f>
        <v>194.34999999999997</v>
      </c>
    </row>
    <row r="1021" spans="1:10" ht="20.25" customHeight="1">
      <c r="A1021" s="471">
        <v>5311</v>
      </c>
      <c r="B1021" s="472" t="s">
        <v>445</v>
      </c>
      <c r="C1021" s="473">
        <v>28</v>
      </c>
      <c r="D1021" s="471">
        <v>4065</v>
      </c>
      <c r="E1021" s="474">
        <v>39811</v>
      </c>
      <c r="F1021" s="475" t="s">
        <v>446</v>
      </c>
      <c r="G1021" s="476">
        <v>116</v>
      </c>
      <c r="H1021" s="475" t="s">
        <v>801</v>
      </c>
      <c r="I1021" s="478" t="s">
        <v>803</v>
      </c>
      <c r="J1021" s="496">
        <f>(845*1.15)/5</f>
        <v>194.34999999999997</v>
      </c>
    </row>
    <row r="1022" spans="1:10" ht="20.25" customHeight="1">
      <c r="A1022" s="471">
        <v>5311</v>
      </c>
      <c r="B1022" s="472" t="s">
        <v>445</v>
      </c>
      <c r="C1022" s="473">
        <v>29</v>
      </c>
      <c r="D1022" s="471">
        <v>4065</v>
      </c>
      <c r="E1022" s="474">
        <v>39811</v>
      </c>
      <c r="F1022" s="475" t="s">
        <v>446</v>
      </c>
      <c r="G1022" s="476">
        <v>116</v>
      </c>
      <c r="H1022" s="475" t="s">
        <v>801</v>
      </c>
      <c r="I1022" s="478" t="s">
        <v>803</v>
      </c>
      <c r="J1022" s="496">
        <f>(845*1.15)/5</f>
        <v>194.34999999999997</v>
      </c>
    </row>
    <row r="1023" spans="1:10" ht="20.25" customHeight="1">
      <c r="A1023" s="471">
        <v>5311</v>
      </c>
      <c r="B1023" s="472" t="s">
        <v>445</v>
      </c>
      <c r="C1023" s="473">
        <v>30</v>
      </c>
      <c r="D1023" s="471">
        <v>4065</v>
      </c>
      <c r="E1023" s="474">
        <v>39811</v>
      </c>
      <c r="F1023" s="475" t="s">
        <v>446</v>
      </c>
      <c r="G1023" s="476">
        <v>116</v>
      </c>
      <c r="H1023" s="475" t="s">
        <v>801</v>
      </c>
      <c r="I1023" s="478" t="s">
        <v>803</v>
      </c>
      <c r="J1023" s="496">
        <f>(845*1.15)/5</f>
        <v>194.34999999999997</v>
      </c>
    </row>
    <row r="1024" spans="1:10" ht="20.25" customHeight="1">
      <c r="A1024" s="471">
        <v>5311</v>
      </c>
      <c r="B1024" s="472" t="s">
        <v>445</v>
      </c>
      <c r="C1024" s="473">
        <v>31</v>
      </c>
      <c r="D1024" s="471">
        <v>4065</v>
      </c>
      <c r="E1024" s="474">
        <v>39811</v>
      </c>
      <c r="F1024" s="475" t="s">
        <v>446</v>
      </c>
      <c r="G1024" s="476">
        <v>116</v>
      </c>
      <c r="H1024" s="475" t="s">
        <v>801</v>
      </c>
      <c r="I1024" s="478" t="s">
        <v>804</v>
      </c>
      <c r="J1024" s="496">
        <f>(910*1.15)</f>
        <v>1046.5</v>
      </c>
    </row>
    <row r="1025" spans="1:10" ht="20.25" customHeight="1">
      <c r="A1025" s="471">
        <v>5311</v>
      </c>
      <c r="B1025" s="472" t="s">
        <v>445</v>
      </c>
      <c r="C1025" s="473">
        <v>32</v>
      </c>
      <c r="D1025" s="471">
        <v>4065</v>
      </c>
      <c r="E1025" s="474">
        <v>39811</v>
      </c>
      <c r="F1025" s="475" t="s">
        <v>446</v>
      </c>
      <c r="G1025" s="476">
        <v>116</v>
      </c>
      <c r="H1025" s="475" t="s">
        <v>801</v>
      </c>
      <c r="I1025" s="478" t="s">
        <v>805</v>
      </c>
      <c r="J1025" s="496">
        <f>86.71*15</f>
        <v>1300.6499999999999</v>
      </c>
    </row>
    <row r="1026" spans="1:10" ht="20.25" customHeight="1">
      <c r="A1026" s="471">
        <v>5311</v>
      </c>
      <c r="B1026" s="472" t="s">
        <v>445</v>
      </c>
      <c r="C1026" s="473">
        <v>33</v>
      </c>
      <c r="D1026" s="471">
        <v>4065</v>
      </c>
      <c r="E1026" s="474">
        <v>39811</v>
      </c>
      <c r="F1026" s="475" t="s">
        <v>446</v>
      </c>
      <c r="G1026" s="476">
        <v>116</v>
      </c>
      <c r="H1026" s="475" t="s">
        <v>801</v>
      </c>
      <c r="I1026" s="478" t="s">
        <v>806</v>
      </c>
      <c r="J1026" s="496">
        <f>81.65*15</f>
        <v>1224.75</v>
      </c>
    </row>
    <row r="1027" spans="1:10" ht="20.25" customHeight="1">
      <c r="A1027" s="471">
        <v>5311</v>
      </c>
      <c r="B1027" s="472" t="s">
        <v>445</v>
      </c>
      <c r="C1027" s="473">
        <v>34</v>
      </c>
      <c r="D1027" s="471">
        <v>4065</v>
      </c>
      <c r="E1027" s="474">
        <v>39811</v>
      </c>
      <c r="F1027" s="475" t="s">
        <v>446</v>
      </c>
      <c r="G1027" s="476">
        <v>116</v>
      </c>
      <c r="H1027" s="475" t="s">
        <v>801</v>
      </c>
      <c r="I1027" s="478" t="s">
        <v>807</v>
      </c>
      <c r="J1027" s="496">
        <f>81.65*10</f>
        <v>816.5</v>
      </c>
    </row>
    <row r="1028" spans="1:10" ht="20.25" customHeight="1">
      <c r="A1028" s="471">
        <v>5311</v>
      </c>
      <c r="B1028" s="472" t="s">
        <v>445</v>
      </c>
      <c r="C1028" s="473">
        <v>35</v>
      </c>
      <c r="D1028" s="471">
        <v>4065</v>
      </c>
      <c r="E1028" s="474">
        <v>39811</v>
      </c>
      <c r="F1028" s="475" t="s">
        <v>446</v>
      </c>
      <c r="G1028" s="476">
        <v>116</v>
      </c>
      <c r="H1028" s="475" t="s">
        <v>801</v>
      </c>
      <c r="I1028" s="478" t="s">
        <v>808</v>
      </c>
      <c r="J1028" s="496">
        <v>1569.75</v>
      </c>
    </row>
    <row r="1029" spans="1:10" ht="20.25" customHeight="1">
      <c r="A1029" s="471">
        <v>5311</v>
      </c>
      <c r="B1029" s="472" t="s">
        <v>445</v>
      </c>
      <c r="C1029" s="473">
        <v>36</v>
      </c>
      <c r="D1029" s="471">
        <v>4065</v>
      </c>
      <c r="E1029" s="474">
        <v>39811</v>
      </c>
      <c r="F1029" s="475" t="s">
        <v>446</v>
      </c>
      <c r="G1029" s="476">
        <v>116</v>
      </c>
      <c r="H1029" s="475" t="s">
        <v>801</v>
      </c>
      <c r="I1029" s="478" t="s">
        <v>809</v>
      </c>
      <c r="J1029" s="496">
        <v>1001.65</v>
      </c>
    </row>
    <row r="1030" spans="1:10" ht="20.25" customHeight="1">
      <c r="A1030" s="471">
        <v>5311</v>
      </c>
      <c r="B1030" s="472" t="s">
        <v>445</v>
      </c>
      <c r="C1030" s="473">
        <v>37</v>
      </c>
      <c r="D1030" s="471">
        <v>4065</v>
      </c>
      <c r="E1030" s="474">
        <v>39811</v>
      </c>
      <c r="F1030" s="475" t="s">
        <v>446</v>
      </c>
      <c r="G1030" s="476">
        <v>116</v>
      </c>
      <c r="H1030" s="475" t="s">
        <v>801</v>
      </c>
      <c r="I1030" s="478" t="s">
        <v>810</v>
      </c>
      <c r="J1030" s="496">
        <v>784.87</v>
      </c>
    </row>
    <row r="1031" spans="1:10" ht="20.25" customHeight="1">
      <c r="A1031" s="471">
        <v>5311</v>
      </c>
      <c r="B1031" s="472" t="s">
        <v>445</v>
      </c>
      <c r="C1031" s="473">
        <v>38</v>
      </c>
      <c r="D1031" s="471">
        <v>4065</v>
      </c>
      <c r="E1031" s="474">
        <v>39811</v>
      </c>
      <c r="F1031" s="475" t="s">
        <v>446</v>
      </c>
      <c r="G1031" s="476">
        <v>116</v>
      </c>
      <c r="H1031" s="475" t="s">
        <v>801</v>
      </c>
      <c r="I1031" s="478" t="s">
        <v>811</v>
      </c>
      <c r="J1031" s="496">
        <v>784.87</v>
      </c>
    </row>
    <row r="1032" spans="1:10" ht="20.25" customHeight="1">
      <c r="A1032" s="471">
        <v>5311</v>
      </c>
      <c r="B1032" s="472" t="s">
        <v>445</v>
      </c>
      <c r="C1032" s="473">
        <v>39</v>
      </c>
      <c r="D1032" s="471">
        <v>4065</v>
      </c>
      <c r="E1032" s="474">
        <v>39811</v>
      </c>
      <c r="F1032" s="475" t="s">
        <v>446</v>
      </c>
      <c r="G1032" s="476">
        <v>116</v>
      </c>
      <c r="H1032" s="475" t="s">
        <v>801</v>
      </c>
      <c r="I1032" s="478" t="s">
        <v>812</v>
      </c>
      <c r="J1032" s="496">
        <v>784.87</v>
      </c>
    </row>
    <row r="1033" spans="1:10" ht="20.25" customHeight="1">
      <c r="A1033" s="471">
        <v>5311</v>
      </c>
      <c r="B1033" s="472" t="s">
        <v>445</v>
      </c>
      <c r="C1033" s="473">
        <v>40</v>
      </c>
      <c r="D1033" s="471">
        <v>4065</v>
      </c>
      <c r="E1033" s="474">
        <v>39811</v>
      </c>
      <c r="F1033" s="475" t="s">
        <v>446</v>
      </c>
      <c r="G1033" s="476">
        <v>116</v>
      </c>
      <c r="H1033" s="475" t="s">
        <v>801</v>
      </c>
      <c r="I1033" s="478" t="s">
        <v>813</v>
      </c>
      <c r="J1033" s="496">
        <f>119.6*5</f>
        <v>598</v>
      </c>
    </row>
    <row r="1034" spans="1:10" ht="20.25" customHeight="1">
      <c r="A1034" s="471">
        <v>5311</v>
      </c>
      <c r="B1034" s="472" t="s">
        <v>445</v>
      </c>
      <c r="C1034" s="473">
        <v>41</v>
      </c>
      <c r="D1034" s="471">
        <v>4066</v>
      </c>
      <c r="E1034" s="474">
        <v>39811</v>
      </c>
      <c r="F1034" s="475" t="s">
        <v>446</v>
      </c>
      <c r="G1034" s="476">
        <v>116</v>
      </c>
      <c r="H1034" s="475" t="s">
        <v>801</v>
      </c>
      <c r="I1034" s="478" t="s">
        <v>814</v>
      </c>
      <c r="J1034" s="496">
        <f>44.85*5</f>
        <v>224.25</v>
      </c>
    </row>
    <row r="1035" spans="1:10" ht="20.25" customHeight="1">
      <c r="A1035" s="471">
        <v>5311</v>
      </c>
      <c r="B1035" s="472" t="s">
        <v>445</v>
      </c>
      <c r="C1035" s="473">
        <v>42</v>
      </c>
      <c r="D1035" s="471">
        <v>4066</v>
      </c>
      <c r="E1035" s="474">
        <v>39811</v>
      </c>
      <c r="F1035" s="475" t="s">
        <v>446</v>
      </c>
      <c r="G1035" s="476">
        <v>116</v>
      </c>
      <c r="H1035" s="475" t="s">
        <v>801</v>
      </c>
      <c r="I1035" s="478" t="s">
        <v>815</v>
      </c>
      <c r="J1035" s="496">
        <v>485.87</v>
      </c>
    </row>
    <row r="1036" spans="1:10" ht="20.25" customHeight="1">
      <c r="A1036" s="471">
        <v>5311</v>
      </c>
      <c r="B1036" s="472" t="s">
        <v>445</v>
      </c>
      <c r="C1036" s="473">
        <v>43</v>
      </c>
      <c r="D1036" s="471">
        <v>4066</v>
      </c>
      <c r="E1036" s="474">
        <v>39811</v>
      </c>
      <c r="F1036" s="475" t="s">
        <v>446</v>
      </c>
      <c r="G1036" s="476">
        <v>116</v>
      </c>
      <c r="H1036" s="475" t="s">
        <v>801</v>
      </c>
      <c r="I1036" s="478" t="s">
        <v>816</v>
      </c>
      <c r="J1036" s="496">
        <v>419.75</v>
      </c>
    </row>
    <row r="1037" spans="1:10" ht="20.25" customHeight="1">
      <c r="A1037" s="489">
        <v>5311</v>
      </c>
      <c r="B1037" s="490" t="s">
        <v>445</v>
      </c>
      <c r="C1037" s="491">
        <v>44</v>
      </c>
      <c r="D1037" s="489">
        <v>4066</v>
      </c>
      <c r="E1037" s="492">
        <v>39811</v>
      </c>
      <c r="F1037" s="493" t="s">
        <v>446</v>
      </c>
      <c r="G1037" s="476">
        <v>116</v>
      </c>
      <c r="H1037" s="475" t="s">
        <v>801</v>
      </c>
      <c r="I1037" s="505" t="s">
        <v>817</v>
      </c>
      <c r="J1037" s="506">
        <f>194.35*5</f>
        <v>971.75</v>
      </c>
    </row>
    <row r="1038" spans="1:10" ht="20.25" customHeight="1">
      <c r="A1038" s="471">
        <v>5311</v>
      </c>
      <c r="B1038" s="472" t="s">
        <v>445</v>
      </c>
      <c r="C1038" s="473">
        <v>45</v>
      </c>
      <c r="D1038" s="471">
        <v>4066</v>
      </c>
      <c r="E1038" s="474">
        <v>39811</v>
      </c>
      <c r="F1038" s="475" t="s">
        <v>446</v>
      </c>
      <c r="G1038" s="476">
        <v>116</v>
      </c>
      <c r="H1038" s="475" t="s">
        <v>801</v>
      </c>
      <c r="I1038" s="478" t="s">
        <v>818</v>
      </c>
      <c r="J1038" s="496">
        <f>44.85*10</f>
        <v>448.5</v>
      </c>
    </row>
    <row r="1039" spans="1:10" ht="20.25" customHeight="1">
      <c r="A1039" s="471">
        <v>5311</v>
      </c>
      <c r="B1039" s="472" t="s">
        <v>445</v>
      </c>
      <c r="C1039" s="473">
        <v>46</v>
      </c>
      <c r="D1039" s="471">
        <v>4066</v>
      </c>
      <c r="E1039" s="474">
        <v>39811</v>
      </c>
      <c r="F1039" s="475" t="s">
        <v>446</v>
      </c>
      <c r="G1039" s="476">
        <v>116</v>
      </c>
      <c r="H1039" s="475" t="s">
        <v>801</v>
      </c>
      <c r="I1039" s="478" t="s">
        <v>819</v>
      </c>
      <c r="J1039" s="496">
        <f>754*1.15</f>
        <v>867.09999999999991</v>
      </c>
    </row>
    <row r="1040" spans="1:10" ht="20.25" customHeight="1">
      <c r="A1040" s="471">
        <v>5311</v>
      </c>
      <c r="B1040" s="472" t="s">
        <v>445</v>
      </c>
      <c r="C1040" s="473">
        <v>47</v>
      </c>
      <c r="D1040" s="471">
        <v>4066</v>
      </c>
      <c r="E1040" s="474">
        <v>39811</v>
      </c>
      <c r="F1040" s="475" t="s">
        <v>446</v>
      </c>
      <c r="G1040" s="476">
        <v>116</v>
      </c>
      <c r="H1040" s="475" t="s">
        <v>801</v>
      </c>
      <c r="I1040" s="478" t="s">
        <v>820</v>
      </c>
      <c r="J1040" s="496">
        <f>(520*1.15)*5</f>
        <v>2990</v>
      </c>
    </row>
    <row r="1041" spans="1:10" ht="20.25" customHeight="1">
      <c r="A1041" s="471">
        <v>5311</v>
      </c>
      <c r="B1041" s="472" t="s">
        <v>445</v>
      </c>
      <c r="C1041" s="473">
        <v>48</v>
      </c>
      <c r="D1041" s="471">
        <v>4067</v>
      </c>
      <c r="E1041" s="474">
        <v>39811</v>
      </c>
      <c r="F1041" s="475" t="s">
        <v>446</v>
      </c>
      <c r="G1041" s="476">
        <v>116</v>
      </c>
      <c r="H1041" s="475" t="s">
        <v>801</v>
      </c>
      <c r="I1041" s="478" t="s">
        <v>821</v>
      </c>
      <c r="J1041" s="496">
        <f>1599*1.15</f>
        <v>1838.85</v>
      </c>
    </row>
    <row r="1042" spans="1:10" ht="20.25" customHeight="1">
      <c r="A1042" s="471">
        <v>5311</v>
      </c>
      <c r="B1042" s="472" t="s">
        <v>445</v>
      </c>
      <c r="C1042" s="473">
        <v>49</v>
      </c>
      <c r="D1042" s="471">
        <v>4067</v>
      </c>
      <c r="E1042" s="474">
        <v>39811</v>
      </c>
      <c r="F1042" s="475" t="s">
        <v>446</v>
      </c>
      <c r="G1042" s="476">
        <v>116</v>
      </c>
      <c r="H1042" s="475" t="s">
        <v>801</v>
      </c>
      <c r="I1042" s="478" t="s">
        <v>822</v>
      </c>
      <c r="J1042" s="496">
        <f>2197*1.15</f>
        <v>2526.5499999999997</v>
      </c>
    </row>
    <row r="1043" spans="1:10" ht="20.25" customHeight="1">
      <c r="A1043" s="471">
        <v>5311</v>
      </c>
      <c r="B1043" s="472" t="s">
        <v>445</v>
      </c>
      <c r="C1043" s="473">
        <v>50</v>
      </c>
      <c r="D1043" s="471">
        <v>4067</v>
      </c>
      <c r="E1043" s="474">
        <v>39811</v>
      </c>
      <c r="F1043" s="475" t="s">
        <v>446</v>
      </c>
      <c r="G1043" s="476">
        <v>116</v>
      </c>
      <c r="H1043" s="475" t="s">
        <v>801</v>
      </c>
      <c r="I1043" s="478" t="s">
        <v>823</v>
      </c>
      <c r="J1043" s="496">
        <f>1690*1.15</f>
        <v>1943.4999999999998</v>
      </c>
    </row>
    <row r="1044" spans="1:10" ht="20.25" customHeight="1">
      <c r="A1044" s="471">
        <v>5311</v>
      </c>
      <c r="B1044" s="472" t="s">
        <v>445</v>
      </c>
      <c r="C1044" s="473">
        <v>51</v>
      </c>
      <c r="D1044" s="471">
        <v>4067</v>
      </c>
      <c r="E1044" s="474">
        <v>39811</v>
      </c>
      <c r="F1044" s="475" t="s">
        <v>446</v>
      </c>
      <c r="G1044" s="476">
        <v>116</v>
      </c>
      <c r="H1044" s="475" t="s">
        <v>801</v>
      </c>
      <c r="I1044" s="478" t="s">
        <v>824</v>
      </c>
      <c r="J1044" s="496">
        <f>312*1.15</f>
        <v>358.79999999999995</v>
      </c>
    </row>
    <row r="1045" spans="1:10" ht="20.25" customHeight="1">
      <c r="A1045" s="471">
        <v>5311</v>
      </c>
      <c r="B1045" s="472" t="s">
        <v>445</v>
      </c>
      <c r="C1045" s="473">
        <v>52</v>
      </c>
      <c r="D1045" s="471">
        <v>4067</v>
      </c>
      <c r="E1045" s="474">
        <v>39811</v>
      </c>
      <c r="F1045" s="475" t="s">
        <v>446</v>
      </c>
      <c r="G1045" s="476">
        <v>116</v>
      </c>
      <c r="H1045" s="475" t="s">
        <v>801</v>
      </c>
      <c r="I1045" s="478" t="s">
        <v>825</v>
      </c>
      <c r="J1045" s="496">
        <f>357.5*1.15</f>
        <v>411.12499999999994</v>
      </c>
    </row>
    <row r="1046" spans="1:10" ht="20.25" customHeight="1">
      <c r="A1046" s="471">
        <v>5311</v>
      </c>
      <c r="B1046" s="472" t="s">
        <v>445</v>
      </c>
      <c r="C1046" s="473">
        <v>53</v>
      </c>
      <c r="D1046" s="471">
        <v>4067</v>
      </c>
      <c r="E1046" s="474">
        <v>39811</v>
      </c>
      <c r="F1046" s="475" t="s">
        <v>446</v>
      </c>
      <c r="G1046" s="476">
        <v>116</v>
      </c>
      <c r="H1046" s="475" t="s">
        <v>801</v>
      </c>
      <c r="I1046" s="478" t="s">
        <v>826</v>
      </c>
      <c r="J1046" s="496">
        <f>357.5*1.15</f>
        <v>411.12499999999994</v>
      </c>
    </row>
    <row r="1047" spans="1:10" ht="20.25" customHeight="1">
      <c r="A1047" s="471">
        <v>5311</v>
      </c>
      <c r="B1047" s="472" t="s">
        <v>445</v>
      </c>
      <c r="C1047" s="473">
        <v>54</v>
      </c>
      <c r="D1047" s="471">
        <v>4067</v>
      </c>
      <c r="E1047" s="474">
        <v>39811</v>
      </c>
      <c r="F1047" s="475" t="s">
        <v>446</v>
      </c>
      <c r="G1047" s="476">
        <v>116</v>
      </c>
      <c r="H1047" s="475" t="s">
        <v>801</v>
      </c>
      <c r="I1047" s="478" t="s">
        <v>827</v>
      </c>
      <c r="J1047" s="496">
        <f>(702*1.15)*5</f>
        <v>4036.5</v>
      </c>
    </row>
    <row r="1048" spans="1:10" ht="20.25" customHeight="1">
      <c r="A1048" s="471">
        <v>5311</v>
      </c>
      <c r="B1048" s="472" t="s">
        <v>445</v>
      </c>
      <c r="C1048" s="473">
        <v>55</v>
      </c>
      <c r="D1048" s="471">
        <v>4067</v>
      </c>
      <c r="E1048" s="474">
        <v>39811</v>
      </c>
      <c r="F1048" s="475" t="s">
        <v>446</v>
      </c>
      <c r="G1048" s="476">
        <v>116</v>
      </c>
      <c r="H1048" s="475" t="s">
        <v>801</v>
      </c>
      <c r="I1048" s="478" t="s">
        <v>828</v>
      </c>
      <c r="J1048" s="496">
        <f>312*1.15</f>
        <v>358.79999999999995</v>
      </c>
    </row>
    <row r="1049" spans="1:10" ht="20.25" customHeight="1">
      <c r="A1049" s="471">
        <v>5311</v>
      </c>
      <c r="B1049" s="477" t="s">
        <v>445</v>
      </c>
      <c r="C1049" s="473">
        <v>56</v>
      </c>
      <c r="D1049" s="478">
        <v>24163</v>
      </c>
      <c r="E1049" s="475">
        <v>39812</v>
      </c>
      <c r="F1049" s="475" t="s">
        <v>468</v>
      </c>
      <c r="G1049" s="476">
        <v>116</v>
      </c>
      <c r="H1049" s="475" t="s">
        <v>801</v>
      </c>
      <c r="I1049" s="478" t="s">
        <v>829</v>
      </c>
      <c r="J1049" s="502">
        <f>41000*1.15</f>
        <v>47149.999999999993</v>
      </c>
    </row>
    <row r="1050" spans="1:10" ht="20.25" customHeight="1">
      <c r="A1050" s="471">
        <v>5311</v>
      </c>
      <c r="B1050" s="477" t="s">
        <v>445</v>
      </c>
      <c r="C1050" s="473">
        <v>57</v>
      </c>
      <c r="D1050" s="478">
        <v>24164</v>
      </c>
      <c r="E1050" s="475">
        <v>39812</v>
      </c>
      <c r="F1050" s="475" t="s">
        <v>446</v>
      </c>
      <c r="G1050" s="476">
        <v>116</v>
      </c>
      <c r="H1050" s="475" t="s">
        <v>801</v>
      </c>
      <c r="I1050" s="478" t="s">
        <v>830</v>
      </c>
      <c r="J1050" s="502">
        <f>484*1.15</f>
        <v>556.59999999999991</v>
      </c>
    </row>
    <row r="1051" spans="1:10" ht="20.25" customHeight="1">
      <c r="A1051" s="471">
        <v>5311</v>
      </c>
      <c r="B1051" s="477" t="s">
        <v>445</v>
      </c>
      <c r="C1051" s="473">
        <v>58</v>
      </c>
      <c r="D1051" s="478">
        <v>24164</v>
      </c>
      <c r="E1051" s="475">
        <v>39812</v>
      </c>
      <c r="F1051" s="475" t="s">
        <v>446</v>
      </c>
      <c r="G1051" s="476">
        <v>116</v>
      </c>
      <c r="H1051" s="475" t="s">
        <v>801</v>
      </c>
      <c r="I1051" s="478" t="s">
        <v>831</v>
      </c>
      <c r="J1051" s="502">
        <f>570*1.15</f>
        <v>655.5</v>
      </c>
    </row>
    <row r="1052" spans="1:10" ht="20.25" customHeight="1">
      <c r="A1052" s="471">
        <v>5311</v>
      </c>
      <c r="B1052" s="477" t="s">
        <v>445</v>
      </c>
      <c r="C1052" s="473">
        <v>59</v>
      </c>
      <c r="D1052" s="478">
        <v>24164</v>
      </c>
      <c r="E1052" s="475">
        <v>39812</v>
      </c>
      <c r="F1052" s="475" t="s">
        <v>446</v>
      </c>
      <c r="G1052" s="476">
        <v>116</v>
      </c>
      <c r="H1052" s="475" t="s">
        <v>801</v>
      </c>
      <c r="I1052" s="478" t="s">
        <v>832</v>
      </c>
      <c r="J1052" s="502">
        <f>1410*1.15</f>
        <v>1621.4999999999998</v>
      </c>
    </row>
    <row r="1053" spans="1:10" ht="20.25" customHeight="1">
      <c r="A1053" s="471">
        <v>5311</v>
      </c>
      <c r="B1053" s="477" t="s">
        <v>445</v>
      </c>
      <c r="C1053" s="473">
        <v>60</v>
      </c>
      <c r="D1053" s="478">
        <v>24164</v>
      </c>
      <c r="E1053" s="475">
        <v>39812</v>
      </c>
      <c r="F1053" s="475" t="s">
        <v>446</v>
      </c>
      <c r="G1053" s="476">
        <v>116</v>
      </c>
      <c r="H1053" s="475" t="s">
        <v>801</v>
      </c>
      <c r="I1053" s="478" t="s">
        <v>833</v>
      </c>
      <c r="J1053" s="502">
        <f>708*1.15</f>
        <v>814.19999999999993</v>
      </c>
    </row>
    <row r="1054" spans="1:10" ht="20.25" customHeight="1">
      <c r="A1054" s="471">
        <v>5311</v>
      </c>
      <c r="B1054" s="477" t="s">
        <v>445</v>
      </c>
      <c r="C1054" s="473">
        <v>61</v>
      </c>
      <c r="D1054" s="478">
        <v>24164</v>
      </c>
      <c r="E1054" s="475">
        <v>39812</v>
      </c>
      <c r="F1054" s="475" t="s">
        <v>446</v>
      </c>
      <c r="G1054" s="476">
        <v>116</v>
      </c>
      <c r="H1054" s="475" t="s">
        <v>801</v>
      </c>
      <c r="I1054" s="478" t="s">
        <v>834</v>
      </c>
      <c r="J1054" s="502">
        <f>423*1.15</f>
        <v>486.45</v>
      </c>
    </row>
    <row r="1055" spans="1:10" ht="20.25" customHeight="1">
      <c r="A1055" s="471">
        <v>5311</v>
      </c>
      <c r="B1055" s="477" t="s">
        <v>445</v>
      </c>
      <c r="C1055" s="473">
        <v>62</v>
      </c>
      <c r="D1055" s="478">
        <v>24164</v>
      </c>
      <c r="E1055" s="475">
        <v>39812</v>
      </c>
      <c r="F1055" s="475" t="s">
        <v>446</v>
      </c>
      <c r="G1055" s="476">
        <v>116</v>
      </c>
      <c r="H1055" s="475" t="s">
        <v>801</v>
      </c>
      <c r="I1055" s="478" t="s">
        <v>835</v>
      </c>
      <c r="J1055" s="502">
        <f>302*1.15</f>
        <v>347.29999999999995</v>
      </c>
    </row>
    <row r="1056" spans="1:10" ht="20.25" customHeight="1">
      <c r="A1056" s="471">
        <v>5311</v>
      </c>
      <c r="B1056" s="477" t="s">
        <v>445</v>
      </c>
      <c r="C1056" s="473">
        <v>63</v>
      </c>
      <c r="D1056" s="478">
        <v>24164</v>
      </c>
      <c r="E1056" s="475">
        <v>39812</v>
      </c>
      <c r="F1056" s="475" t="s">
        <v>446</v>
      </c>
      <c r="G1056" s="476">
        <v>116</v>
      </c>
      <c r="H1056" s="475" t="s">
        <v>801</v>
      </c>
      <c r="I1056" s="478" t="s">
        <v>836</v>
      </c>
      <c r="J1056" s="502">
        <f>(7350*1.15)</f>
        <v>8452.5</v>
      </c>
    </row>
    <row r="1057" spans="1:10" ht="20.25" customHeight="1">
      <c r="A1057" s="471">
        <v>5311</v>
      </c>
      <c r="B1057" s="477" t="s">
        <v>445</v>
      </c>
      <c r="C1057" s="473">
        <v>64</v>
      </c>
      <c r="D1057" s="478">
        <v>24164</v>
      </c>
      <c r="E1057" s="475">
        <v>39812</v>
      </c>
      <c r="F1057" s="475" t="s">
        <v>446</v>
      </c>
      <c r="G1057" s="476">
        <v>116</v>
      </c>
      <c r="H1057" s="475" t="s">
        <v>801</v>
      </c>
      <c r="I1057" s="478" t="s">
        <v>837</v>
      </c>
      <c r="J1057" s="502">
        <f>458*1.15</f>
        <v>526.69999999999993</v>
      </c>
    </row>
    <row r="1058" spans="1:10" ht="20.25" customHeight="1">
      <c r="A1058" s="471">
        <v>5311</v>
      </c>
      <c r="B1058" s="477" t="s">
        <v>445</v>
      </c>
      <c r="C1058" s="473">
        <v>65</v>
      </c>
      <c r="D1058" s="478">
        <v>24164</v>
      </c>
      <c r="E1058" s="475">
        <v>39812</v>
      </c>
      <c r="F1058" s="475" t="s">
        <v>446</v>
      </c>
      <c r="G1058" s="476">
        <v>116</v>
      </c>
      <c r="H1058" s="475" t="s">
        <v>801</v>
      </c>
      <c r="I1058" s="478" t="s">
        <v>838</v>
      </c>
      <c r="J1058" s="502">
        <f>(5509*1.15)</f>
        <v>6335.3499999999995</v>
      </c>
    </row>
    <row r="1059" spans="1:10" ht="20.25" customHeight="1">
      <c r="A1059" s="471">
        <v>5311</v>
      </c>
      <c r="B1059" s="472" t="s">
        <v>445</v>
      </c>
      <c r="C1059" s="473">
        <v>66</v>
      </c>
      <c r="D1059" s="471">
        <v>14438</v>
      </c>
      <c r="E1059" s="474">
        <v>39813</v>
      </c>
      <c r="F1059" s="475" t="s">
        <v>446</v>
      </c>
      <c r="G1059" s="476">
        <v>116</v>
      </c>
      <c r="H1059" s="475" t="s">
        <v>801</v>
      </c>
      <c r="I1059" s="478" t="s">
        <v>839</v>
      </c>
      <c r="J1059" s="496">
        <f>(3621*1.15)/5</f>
        <v>832.82999999999993</v>
      </c>
    </row>
    <row r="1060" spans="1:10" ht="20.25" customHeight="1">
      <c r="A1060" s="471">
        <v>5311</v>
      </c>
      <c r="B1060" s="472" t="s">
        <v>445</v>
      </c>
      <c r="C1060" s="473">
        <v>67</v>
      </c>
      <c r="D1060" s="471">
        <v>14438</v>
      </c>
      <c r="E1060" s="474">
        <v>39813</v>
      </c>
      <c r="F1060" s="475" t="s">
        <v>446</v>
      </c>
      <c r="G1060" s="476">
        <v>116</v>
      </c>
      <c r="H1060" s="475" t="s">
        <v>801</v>
      </c>
      <c r="I1060" s="478" t="s">
        <v>839</v>
      </c>
      <c r="J1060" s="496">
        <f>(3621*1.15)/5</f>
        <v>832.82999999999993</v>
      </c>
    </row>
    <row r="1061" spans="1:10" ht="20.25" customHeight="1">
      <c r="A1061" s="471">
        <v>5311</v>
      </c>
      <c r="B1061" s="472" t="s">
        <v>445</v>
      </c>
      <c r="C1061" s="473">
        <v>68</v>
      </c>
      <c r="D1061" s="471">
        <v>14438</v>
      </c>
      <c r="E1061" s="474">
        <v>39813</v>
      </c>
      <c r="F1061" s="475" t="s">
        <v>446</v>
      </c>
      <c r="G1061" s="476">
        <v>116</v>
      </c>
      <c r="H1061" s="475" t="s">
        <v>801</v>
      </c>
      <c r="I1061" s="478" t="s">
        <v>839</v>
      </c>
      <c r="J1061" s="496">
        <f>(3621*1.15)/5</f>
        <v>832.82999999999993</v>
      </c>
    </row>
    <row r="1062" spans="1:10" ht="20.25" customHeight="1">
      <c r="A1062" s="471">
        <v>5311</v>
      </c>
      <c r="B1062" s="472" t="s">
        <v>445</v>
      </c>
      <c r="C1062" s="473">
        <v>69</v>
      </c>
      <c r="D1062" s="471">
        <v>14438</v>
      </c>
      <c r="E1062" s="474">
        <v>39813</v>
      </c>
      <c r="F1062" s="475" t="s">
        <v>446</v>
      </c>
      <c r="G1062" s="476">
        <v>116</v>
      </c>
      <c r="H1062" s="475" t="s">
        <v>801</v>
      </c>
      <c r="I1062" s="478" t="s">
        <v>839</v>
      </c>
      <c r="J1062" s="496">
        <f>(3621*1.15)/5</f>
        <v>832.82999999999993</v>
      </c>
    </row>
    <row r="1063" spans="1:10" ht="20.25" customHeight="1">
      <c r="A1063" s="471">
        <v>5311</v>
      </c>
      <c r="B1063" s="472" t="s">
        <v>445</v>
      </c>
      <c r="C1063" s="473">
        <v>70</v>
      </c>
      <c r="D1063" s="471">
        <v>14438</v>
      </c>
      <c r="E1063" s="474">
        <v>39813</v>
      </c>
      <c r="F1063" s="475" t="s">
        <v>446</v>
      </c>
      <c r="G1063" s="476">
        <v>116</v>
      </c>
      <c r="H1063" s="475" t="s">
        <v>801</v>
      </c>
      <c r="I1063" s="478" t="s">
        <v>839</v>
      </c>
      <c r="J1063" s="496">
        <f>(3621*1.15)/5</f>
        <v>832.82999999999993</v>
      </c>
    </row>
    <row r="1064" spans="1:10" ht="20.25" customHeight="1">
      <c r="A1064" s="471">
        <v>5311</v>
      </c>
      <c r="B1064" s="472" t="s">
        <v>445</v>
      </c>
      <c r="C1064" s="473">
        <v>71</v>
      </c>
      <c r="D1064" s="471">
        <v>14438</v>
      </c>
      <c r="E1064" s="474">
        <v>39813</v>
      </c>
      <c r="F1064" s="475" t="s">
        <v>446</v>
      </c>
      <c r="G1064" s="476">
        <v>116</v>
      </c>
      <c r="H1064" s="475" t="s">
        <v>801</v>
      </c>
      <c r="I1064" s="478" t="s">
        <v>840</v>
      </c>
      <c r="J1064" s="496">
        <f>(1040*1.15)/5</f>
        <v>239.2</v>
      </c>
    </row>
    <row r="1065" spans="1:10" ht="20.25" customHeight="1">
      <c r="A1065" s="471">
        <v>5311</v>
      </c>
      <c r="B1065" s="472" t="s">
        <v>445</v>
      </c>
      <c r="C1065" s="473">
        <v>72</v>
      </c>
      <c r="D1065" s="471">
        <v>14438</v>
      </c>
      <c r="E1065" s="474">
        <v>39813</v>
      </c>
      <c r="F1065" s="475" t="s">
        <v>446</v>
      </c>
      <c r="G1065" s="476">
        <v>116</v>
      </c>
      <c r="H1065" s="475" t="s">
        <v>801</v>
      </c>
      <c r="I1065" s="478" t="s">
        <v>840</v>
      </c>
      <c r="J1065" s="496">
        <f>(1040*1.15)/5</f>
        <v>239.2</v>
      </c>
    </row>
    <row r="1066" spans="1:10" ht="20.25" customHeight="1">
      <c r="A1066" s="471">
        <v>5311</v>
      </c>
      <c r="B1066" s="472" t="s">
        <v>445</v>
      </c>
      <c r="C1066" s="473">
        <v>73</v>
      </c>
      <c r="D1066" s="471">
        <v>14438</v>
      </c>
      <c r="E1066" s="474">
        <v>39813</v>
      </c>
      <c r="F1066" s="475" t="s">
        <v>446</v>
      </c>
      <c r="G1066" s="476">
        <v>116</v>
      </c>
      <c r="H1066" s="475" t="s">
        <v>801</v>
      </c>
      <c r="I1066" s="478" t="s">
        <v>840</v>
      </c>
      <c r="J1066" s="496">
        <f>(1040*1.15)/5</f>
        <v>239.2</v>
      </c>
    </row>
    <row r="1067" spans="1:10" ht="20.25" customHeight="1">
      <c r="A1067" s="471">
        <v>5311</v>
      </c>
      <c r="B1067" s="472" t="s">
        <v>445</v>
      </c>
      <c r="C1067" s="473">
        <v>74</v>
      </c>
      <c r="D1067" s="471">
        <v>14438</v>
      </c>
      <c r="E1067" s="474">
        <v>39813</v>
      </c>
      <c r="F1067" s="475" t="s">
        <v>446</v>
      </c>
      <c r="G1067" s="476">
        <v>116</v>
      </c>
      <c r="H1067" s="475" t="s">
        <v>801</v>
      </c>
      <c r="I1067" s="478" t="s">
        <v>840</v>
      </c>
      <c r="J1067" s="496">
        <f>(1040*1.15)/5</f>
        <v>239.2</v>
      </c>
    </row>
    <row r="1068" spans="1:10" ht="20.25" customHeight="1">
      <c r="A1068" s="471">
        <v>5311</v>
      </c>
      <c r="B1068" s="472" t="s">
        <v>445</v>
      </c>
      <c r="C1068" s="473">
        <v>75</v>
      </c>
      <c r="D1068" s="471">
        <v>14438</v>
      </c>
      <c r="E1068" s="474">
        <v>39813</v>
      </c>
      <c r="F1068" s="475" t="s">
        <v>446</v>
      </c>
      <c r="G1068" s="476">
        <v>116</v>
      </c>
      <c r="H1068" s="475" t="s">
        <v>801</v>
      </c>
      <c r="I1068" s="478" t="s">
        <v>840</v>
      </c>
      <c r="J1068" s="496">
        <f>(1040*1.15)/5</f>
        <v>239.2</v>
      </c>
    </row>
    <row r="1069" spans="1:10" ht="20.25" customHeight="1">
      <c r="A1069" s="471">
        <v>5311</v>
      </c>
      <c r="B1069" s="472" t="s">
        <v>445</v>
      </c>
      <c r="C1069" s="473">
        <v>76</v>
      </c>
      <c r="D1069" s="471">
        <v>14438</v>
      </c>
      <c r="E1069" s="474">
        <v>39813</v>
      </c>
      <c r="F1069" s="475" t="s">
        <v>446</v>
      </c>
      <c r="G1069" s="476">
        <v>116</v>
      </c>
      <c r="H1069" s="475" t="s">
        <v>801</v>
      </c>
      <c r="I1069" s="478" t="s">
        <v>841</v>
      </c>
      <c r="J1069" s="496">
        <f>(1340*1.15)/5</f>
        <v>308.19999999999993</v>
      </c>
    </row>
    <row r="1070" spans="1:10" ht="20.25" customHeight="1">
      <c r="A1070" s="471">
        <v>5311</v>
      </c>
      <c r="B1070" s="472" t="s">
        <v>445</v>
      </c>
      <c r="C1070" s="473">
        <v>77</v>
      </c>
      <c r="D1070" s="471">
        <v>14438</v>
      </c>
      <c r="E1070" s="474">
        <v>39813</v>
      </c>
      <c r="F1070" s="475" t="s">
        <v>446</v>
      </c>
      <c r="G1070" s="476">
        <v>116</v>
      </c>
      <c r="H1070" s="475" t="s">
        <v>801</v>
      </c>
      <c r="I1070" s="478" t="s">
        <v>841</v>
      </c>
      <c r="J1070" s="496">
        <f>(1340*1.15)/5</f>
        <v>308.19999999999993</v>
      </c>
    </row>
    <row r="1071" spans="1:10" ht="20.25" customHeight="1">
      <c r="A1071" s="471">
        <v>5311</v>
      </c>
      <c r="B1071" s="472" t="s">
        <v>445</v>
      </c>
      <c r="C1071" s="473">
        <v>78</v>
      </c>
      <c r="D1071" s="471">
        <v>14438</v>
      </c>
      <c r="E1071" s="474">
        <v>39813</v>
      </c>
      <c r="F1071" s="475" t="s">
        <v>446</v>
      </c>
      <c r="G1071" s="476">
        <v>116</v>
      </c>
      <c r="H1071" s="475" t="s">
        <v>801</v>
      </c>
      <c r="I1071" s="478" t="s">
        <v>841</v>
      </c>
      <c r="J1071" s="496">
        <f>(1340*1.15)/5</f>
        <v>308.19999999999993</v>
      </c>
    </row>
    <row r="1072" spans="1:10" ht="20.25" customHeight="1">
      <c r="A1072" s="471">
        <v>5311</v>
      </c>
      <c r="B1072" s="472" t="s">
        <v>445</v>
      </c>
      <c r="C1072" s="473">
        <v>79</v>
      </c>
      <c r="D1072" s="471">
        <v>14438</v>
      </c>
      <c r="E1072" s="474">
        <v>39813</v>
      </c>
      <c r="F1072" s="475" t="s">
        <v>446</v>
      </c>
      <c r="G1072" s="476">
        <v>116</v>
      </c>
      <c r="H1072" s="475" t="s">
        <v>801</v>
      </c>
      <c r="I1072" s="478" t="s">
        <v>841</v>
      </c>
      <c r="J1072" s="496">
        <f>(1340*1.15)/5</f>
        <v>308.19999999999993</v>
      </c>
    </row>
    <row r="1073" spans="1:10" ht="20.25" customHeight="1">
      <c r="A1073" s="471">
        <v>5311</v>
      </c>
      <c r="B1073" s="472" t="s">
        <v>445</v>
      </c>
      <c r="C1073" s="473">
        <v>80</v>
      </c>
      <c r="D1073" s="471">
        <v>14438</v>
      </c>
      <c r="E1073" s="474">
        <v>39813</v>
      </c>
      <c r="F1073" s="475" t="s">
        <v>446</v>
      </c>
      <c r="G1073" s="476">
        <v>116</v>
      </c>
      <c r="H1073" s="475" t="s">
        <v>801</v>
      </c>
      <c r="I1073" s="478" t="s">
        <v>841</v>
      </c>
      <c r="J1073" s="496">
        <f>(1340*1.15)/5</f>
        <v>308.19999999999993</v>
      </c>
    </row>
    <row r="1074" spans="1:10" ht="20.25" customHeight="1">
      <c r="A1074" s="471">
        <v>5311</v>
      </c>
      <c r="B1074" s="472" t="s">
        <v>445</v>
      </c>
      <c r="C1074" s="473">
        <v>81</v>
      </c>
      <c r="D1074" s="471">
        <v>14438</v>
      </c>
      <c r="E1074" s="474">
        <v>39813</v>
      </c>
      <c r="F1074" s="475" t="s">
        <v>446</v>
      </c>
      <c r="G1074" s="476">
        <v>116</v>
      </c>
      <c r="H1074" s="475" t="s">
        <v>801</v>
      </c>
      <c r="I1074" s="478" t="s">
        <v>842</v>
      </c>
      <c r="J1074" s="496">
        <f>1288*1.15</f>
        <v>1481.1999999999998</v>
      </c>
    </row>
    <row r="1075" spans="1:10" ht="20.25" customHeight="1">
      <c r="A1075" s="471">
        <v>5311</v>
      </c>
      <c r="B1075" s="477" t="s">
        <v>445</v>
      </c>
      <c r="C1075" s="473">
        <v>82</v>
      </c>
      <c r="D1075" s="478">
        <v>14439</v>
      </c>
      <c r="E1075" s="475">
        <v>39813</v>
      </c>
      <c r="F1075" s="475" t="s">
        <v>446</v>
      </c>
      <c r="G1075" s="476">
        <v>116</v>
      </c>
      <c r="H1075" s="475" t="s">
        <v>801</v>
      </c>
      <c r="I1075" s="478" t="s">
        <v>843</v>
      </c>
      <c r="J1075" s="502">
        <f>4384*1.15</f>
        <v>5041.5999999999995</v>
      </c>
    </row>
    <row r="1076" spans="1:10" ht="20.25" customHeight="1">
      <c r="A1076" s="471">
        <v>5311</v>
      </c>
      <c r="B1076" s="477" t="s">
        <v>445</v>
      </c>
      <c r="C1076" s="473">
        <v>83</v>
      </c>
      <c r="D1076" s="478">
        <v>14439</v>
      </c>
      <c r="E1076" s="475">
        <v>39813</v>
      </c>
      <c r="F1076" s="475" t="s">
        <v>446</v>
      </c>
      <c r="G1076" s="476">
        <v>116</v>
      </c>
      <c r="H1076" s="475" t="s">
        <v>801</v>
      </c>
      <c r="I1076" s="478" t="s">
        <v>844</v>
      </c>
      <c r="J1076" s="502">
        <f>3672*1.15</f>
        <v>4222.7999999999993</v>
      </c>
    </row>
    <row r="1077" spans="1:10" ht="20.25" customHeight="1">
      <c r="A1077" s="471">
        <v>5311</v>
      </c>
      <c r="B1077" s="472" t="s">
        <v>445</v>
      </c>
      <c r="C1077" s="473">
        <v>84</v>
      </c>
      <c r="D1077" s="478">
        <v>14439</v>
      </c>
      <c r="E1077" s="474">
        <v>39813</v>
      </c>
      <c r="F1077" s="475" t="s">
        <v>446</v>
      </c>
      <c r="G1077" s="476">
        <v>116</v>
      </c>
      <c r="H1077" s="475" t="s">
        <v>801</v>
      </c>
      <c r="I1077" s="478" t="s">
        <v>845</v>
      </c>
      <c r="J1077" s="496">
        <f>(712.5*1.15)/3</f>
        <v>273.12499999999994</v>
      </c>
    </row>
    <row r="1078" spans="1:10" ht="20.25" customHeight="1">
      <c r="A1078" s="471">
        <v>5311</v>
      </c>
      <c r="B1078" s="472" t="s">
        <v>445</v>
      </c>
      <c r="C1078" s="473">
        <v>85</v>
      </c>
      <c r="D1078" s="478">
        <v>14439</v>
      </c>
      <c r="E1078" s="474">
        <v>39813</v>
      </c>
      <c r="F1078" s="475" t="s">
        <v>446</v>
      </c>
      <c r="G1078" s="476">
        <v>116</v>
      </c>
      <c r="H1078" s="475" t="s">
        <v>801</v>
      </c>
      <c r="I1078" s="478" t="s">
        <v>845</v>
      </c>
      <c r="J1078" s="496">
        <f>(712.5*1.15)/3</f>
        <v>273.12499999999994</v>
      </c>
    </row>
    <row r="1079" spans="1:10" ht="20.25" customHeight="1">
      <c r="A1079" s="471">
        <v>5311</v>
      </c>
      <c r="B1079" s="472" t="s">
        <v>445</v>
      </c>
      <c r="C1079" s="473">
        <v>86</v>
      </c>
      <c r="D1079" s="478">
        <v>14439</v>
      </c>
      <c r="E1079" s="474">
        <v>39813</v>
      </c>
      <c r="F1079" s="475" t="s">
        <v>446</v>
      </c>
      <c r="G1079" s="476">
        <v>116</v>
      </c>
      <c r="H1079" s="475" t="s">
        <v>801</v>
      </c>
      <c r="I1079" s="478" t="s">
        <v>845</v>
      </c>
      <c r="J1079" s="496">
        <f>(712.5*1.15)/3</f>
        <v>273.12499999999994</v>
      </c>
    </row>
    <row r="1080" spans="1:10" ht="20.25" customHeight="1">
      <c r="A1080" s="471">
        <v>5311</v>
      </c>
      <c r="B1080" s="472" t="s">
        <v>445</v>
      </c>
      <c r="C1080" s="473">
        <v>87</v>
      </c>
      <c r="D1080" s="478">
        <v>14439</v>
      </c>
      <c r="E1080" s="474">
        <v>39813</v>
      </c>
      <c r="F1080" s="475" t="s">
        <v>446</v>
      </c>
      <c r="G1080" s="476">
        <v>116</v>
      </c>
      <c r="H1080" s="475" t="s">
        <v>801</v>
      </c>
      <c r="I1080" s="478" t="s">
        <v>846</v>
      </c>
      <c r="J1080" s="496">
        <f>525*1.15</f>
        <v>603.75</v>
      </c>
    </row>
    <row r="1081" spans="1:10" ht="20.25" customHeight="1">
      <c r="A1081" s="471">
        <v>5311</v>
      </c>
      <c r="B1081" s="472" t="s">
        <v>445</v>
      </c>
      <c r="C1081" s="473">
        <v>88</v>
      </c>
      <c r="D1081" s="478">
        <v>14439</v>
      </c>
      <c r="E1081" s="474">
        <v>39813</v>
      </c>
      <c r="F1081" s="475" t="s">
        <v>446</v>
      </c>
      <c r="G1081" s="476">
        <v>116</v>
      </c>
      <c r="H1081" s="475" t="s">
        <v>801</v>
      </c>
      <c r="I1081" s="478" t="s">
        <v>847</v>
      </c>
      <c r="J1081" s="496">
        <f>187.5*1.15</f>
        <v>215.62499999999997</v>
      </c>
    </row>
    <row r="1082" spans="1:10" ht="20.25" customHeight="1">
      <c r="A1082" s="471">
        <v>5311</v>
      </c>
      <c r="B1082" s="472" t="s">
        <v>445</v>
      </c>
      <c r="C1082" s="473">
        <v>89</v>
      </c>
      <c r="D1082" s="478">
        <v>14439</v>
      </c>
      <c r="E1082" s="474">
        <v>39813</v>
      </c>
      <c r="F1082" s="475" t="s">
        <v>446</v>
      </c>
      <c r="G1082" s="476">
        <v>116</v>
      </c>
      <c r="H1082" s="475" t="s">
        <v>801</v>
      </c>
      <c r="I1082" s="478" t="s">
        <v>848</v>
      </c>
      <c r="J1082" s="496">
        <f>200*1.15</f>
        <v>229.99999999999997</v>
      </c>
    </row>
    <row r="1083" spans="1:10" ht="20.25" customHeight="1">
      <c r="A1083" s="471">
        <v>5311</v>
      </c>
      <c r="B1083" s="472" t="s">
        <v>445</v>
      </c>
      <c r="C1083" s="473">
        <v>90</v>
      </c>
      <c r="D1083" s="478">
        <v>14439</v>
      </c>
      <c r="E1083" s="474">
        <v>39813</v>
      </c>
      <c r="F1083" s="475" t="s">
        <v>446</v>
      </c>
      <c r="G1083" s="476">
        <v>116</v>
      </c>
      <c r="H1083" s="475" t="s">
        <v>801</v>
      </c>
      <c r="I1083" s="478" t="s">
        <v>849</v>
      </c>
      <c r="J1083" s="496">
        <f>952*1.15</f>
        <v>1094.8</v>
      </c>
    </row>
    <row r="1084" spans="1:10" ht="20.25" customHeight="1">
      <c r="A1084" s="471">
        <v>5311</v>
      </c>
      <c r="B1084" s="472" t="s">
        <v>445</v>
      </c>
      <c r="C1084" s="473">
        <v>91</v>
      </c>
      <c r="D1084" s="478">
        <v>14439</v>
      </c>
      <c r="E1084" s="474">
        <v>39813</v>
      </c>
      <c r="F1084" s="475" t="s">
        <v>446</v>
      </c>
      <c r="G1084" s="476">
        <v>116</v>
      </c>
      <c r="H1084" s="475" t="s">
        <v>801</v>
      </c>
      <c r="I1084" s="478" t="s">
        <v>850</v>
      </c>
      <c r="J1084" s="496">
        <f>292*1.15</f>
        <v>335.79999999999995</v>
      </c>
    </row>
    <row r="1085" spans="1:10" ht="20.25" customHeight="1">
      <c r="A1085" s="471">
        <v>5311</v>
      </c>
      <c r="B1085" s="472" t="s">
        <v>445</v>
      </c>
      <c r="C1085" s="473">
        <v>92</v>
      </c>
      <c r="D1085" s="478">
        <v>14439</v>
      </c>
      <c r="E1085" s="474">
        <v>39813</v>
      </c>
      <c r="F1085" s="475" t="s">
        <v>446</v>
      </c>
      <c r="G1085" s="476">
        <v>116</v>
      </c>
      <c r="H1085" s="475" t="s">
        <v>801</v>
      </c>
      <c r="I1085" s="478" t="s">
        <v>851</v>
      </c>
      <c r="J1085" s="496">
        <f>1008*1.15</f>
        <v>1159.1999999999998</v>
      </c>
    </row>
    <row r="1086" spans="1:10" ht="20.25" customHeight="1">
      <c r="A1086" s="471">
        <v>5311</v>
      </c>
      <c r="B1086" s="472" t="s">
        <v>445</v>
      </c>
      <c r="C1086" s="473">
        <v>93</v>
      </c>
      <c r="D1086" s="478">
        <v>14439</v>
      </c>
      <c r="E1086" s="474">
        <v>39813</v>
      </c>
      <c r="F1086" s="475" t="s">
        <v>446</v>
      </c>
      <c r="G1086" s="476">
        <v>116</v>
      </c>
      <c r="H1086" s="475" t="s">
        <v>801</v>
      </c>
      <c r="I1086" s="478" t="s">
        <v>852</v>
      </c>
      <c r="J1086" s="496">
        <f>(4937.5*1.15)</f>
        <v>5678.125</v>
      </c>
    </row>
    <row r="1087" spans="1:10" ht="20.25" customHeight="1">
      <c r="A1087" s="471">
        <v>5311</v>
      </c>
      <c r="B1087" s="472" t="s">
        <v>445</v>
      </c>
      <c r="C1087" s="473">
        <v>94</v>
      </c>
      <c r="D1087" s="478">
        <v>14439</v>
      </c>
      <c r="E1087" s="474">
        <v>39813</v>
      </c>
      <c r="F1087" s="475" t="s">
        <v>446</v>
      </c>
      <c r="G1087" s="476">
        <v>116</v>
      </c>
      <c r="H1087" s="475" t="s">
        <v>801</v>
      </c>
      <c r="I1087" s="478" t="s">
        <v>853</v>
      </c>
      <c r="J1087" s="496">
        <f>1600*1.15</f>
        <v>1839.9999999999998</v>
      </c>
    </row>
    <row r="1088" spans="1:10" ht="20.25" customHeight="1">
      <c r="A1088" s="471">
        <v>5311</v>
      </c>
      <c r="B1088" s="472" t="s">
        <v>445</v>
      </c>
      <c r="C1088" s="473">
        <v>95</v>
      </c>
      <c r="D1088" s="478">
        <v>14439</v>
      </c>
      <c r="E1088" s="474">
        <v>39813</v>
      </c>
      <c r="F1088" s="475" t="s">
        <v>446</v>
      </c>
      <c r="G1088" s="476">
        <v>116</v>
      </c>
      <c r="H1088" s="475" t="s">
        <v>801</v>
      </c>
      <c r="I1088" s="478" t="s">
        <v>854</v>
      </c>
      <c r="J1088" s="496">
        <f>10400*1.15</f>
        <v>11959.999999999998</v>
      </c>
    </row>
    <row r="1089" spans="1:10" ht="20.25" customHeight="1">
      <c r="A1089" s="471">
        <v>5311</v>
      </c>
      <c r="B1089" s="477" t="s">
        <v>445</v>
      </c>
      <c r="C1089" s="473">
        <v>96</v>
      </c>
      <c r="D1089" s="478">
        <v>901</v>
      </c>
      <c r="E1089" s="475">
        <v>39813</v>
      </c>
      <c r="F1089" s="475" t="s">
        <v>446</v>
      </c>
      <c r="G1089" s="476">
        <v>116</v>
      </c>
      <c r="H1089" s="475" t="s">
        <v>801</v>
      </c>
      <c r="I1089" s="478" t="s">
        <v>855</v>
      </c>
      <c r="J1089" s="502">
        <v>3143.32</v>
      </c>
    </row>
    <row r="1090" spans="1:10" ht="20.25" customHeight="1">
      <c r="A1090" s="471">
        <v>5311</v>
      </c>
      <c r="B1090" s="472" t="s">
        <v>445</v>
      </c>
      <c r="C1090" s="473">
        <v>97</v>
      </c>
      <c r="D1090" s="471">
        <v>1822</v>
      </c>
      <c r="E1090" s="472">
        <v>40603</v>
      </c>
      <c r="F1090" s="475" t="s">
        <v>468</v>
      </c>
      <c r="G1090" s="476">
        <v>186</v>
      </c>
      <c r="H1090" s="475" t="s">
        <v>856</v>
      </c>
      <c r="I1090" s="498" t="s">
        <v>857</v>
      </c>
      <c r="J1090" s="499">
        <f>120000*1.16</f>
        <v>139200</v>
      </c>
    </row>
    <row r="1091" spans="1:10" ht="20.25" customHeight="1">
      <c r="A1091" s="471">
        <v>5321</v>
      </c>
      <c r="B1091" s="474" t="s">
        <v>445</v>
      </c>
      <c r="C1091" s="473">
        <v>13</v>
      </c>
      <c r="D1091" s="471">
        <v>13127</v>
      </c>
      <c r="E1091" s="474">
        <v>39336</v>
      </c>
      <c r="F1091" s="475" t="s">
        <v>446</v>
      </c>
      <c r="G1091" s="476">
        <v>173</v>
      </c>
      <c r="H1091" s="475" t="s">
        <v>858</v>
      </c>
      <c r="I1091" s="478" t="s">
        <v>859</v>
      </c>
      <c r="J1091" s="497">
        <v>1265</v>
      </c>
    </row>
    <row r="1092" spans="1:10" ht="20.25" customHeight="1">
      <c r="A1092" s="471">
        <v>5321</v>
      </c>
      <c r="B1092" s="472" t="s">
        <v>445</v>
      </c>
      <c r="C1092" s="473">
        <v>14</v>
      </c>
      <c r="D1092" s="471">
        <v>4063</v>
      </c>
      <c r="E1092" s="474">
        <v>39811</v>
      </c>
      <c r="F1092" s="475" t="s">
        <v>468</v>
      </c>
      <c r="G1092" s="476">
        <v>116</v>
      </c>
      <c r="H1092" s="475" t="s">
        <v>801</v>
      </c>
      <c r="I1092" s="478" t="s">
        <v>860</v>
      </c>
      <c r="J1092" s="496">
        <v>68172</v>
      </c>
    </row>
    <row r="1093" spans="1:10" ht="20.25" customHeight="1">
      <c r="A1093" s="471">
        <v>5321</v>
      </c>
      <c r="B1093" s="477" t="s">
        <v>445</v>
      </c>
      <c r="C1093" s="473">
        <v>15</v>
      </c>
      <c r="D1093" s="478">
        <v>24163</v>
      </c>
      <c r="E1093" s="475">
        <v>39812</v>
      </c>
      <c r="F1093" s="475" t="s">
        <v>468</v>
      </c>
      <c r="G1093" s="476">
        <v>116</v>
      </c>
      <c r="H1093" s="475" t="s">
        <v>801</v>
      </c>
      <c r="I1093" s="478" t="s">
        <v>861</v>
      </c>
      <c r="J1093" s="502">
        <f>39880*1.15</f>
        <v>45862</v>
      </c>
    </row>
    <row r="1094" spans="1:10" ht="20.25" customHeight="1">
      <c r="A1094" s="471">
        <v>5321</v>
      </c>
      <c r="B1094" s="472" t="s">
        <v>445</v>
      </c>
      <c r="C1094" s="473">
        <v>16</v>
      </c>
      <c r="D1094" s="471">
        <v>14438</v>
      </c>
      <c r="E1094" s="474">
        <v>39813</v>
      </c>
      <c r="F1094" s="475" t="s">
        <v>446</v>
      </c>
      <c r="G1094" s="476">
        <v>116</v>
      </c>
      <c r="H1094" s="475" t="s">
        <v>801</v>
      </c>
      <c r="I1094" s="478" t="s">
        <v>862</v>
      </c>
      <c r="J1094" s="496">
        <f>168.75*1.15</f>
        <v>194.06249999999997</v>
      </c>
    </row>
    <row r="1095" spans="1:10" ht="20.25" customHeight="1">
      <c r="A1095" s="471">
        <v>5321</v>
      </c>
      <c r="B1095" s="472" t="s">
        <v>445</v>
      </c>
      <c r="C1095" s="473">
        <v>17</v>
      </c>
      <c r="D1095" s="471">
        <v>14438</v>
      </c>
      <c r="E1095" s="474">
        <v>39813</v>
      </c>
      <c r="F1095" s="475" t="s">
        <v>446</v>
      </c>
      <c r="G1095" s="476">
        <v>116</v>
      </c>
      <c r="H1095" s="475" t="s">
        <v>801</v>
      </c>
      <c r="I1095" s="478" t="s">
        <v>863</v>
      </c>
      <c r="J1095" s="496">
        <f>181.25*1.15</f>
        <v>208.43749999999997</v>
      </c>
    </row>
    <row r="1096" spans="1:10" ht="20.25" customHeight="1">
      <c r="A1096" s="471">
        <v>5321</v>
      </c>
      <c r="B1096" s="472" t="s">
        <v>445</v>
      </c>
      <c r="C1096" s="473">
        <v>18</v>
      </c>
      <c r="D1096" s="471">
        <v>14438</v>
      </c>
      <c r="E1096" s="474">
        <v>39813</v>
      </c>
      <c r="F1096" s="475" t="s">
        <v>446</v>
      </c>
      <c r="G1096" s="476">
        <v>116</v>
      </c>
      <c r="H1096" s="475" t="s">
        <v>801</v>
      </c>
      <c r="I1096" s="478" t="s">
        <v>864</v>
      </c>
      <c r="J1096" s="496">
        <f>2380*1.15</f>
        <v>2737</v>
      </c>
    </row>
    <row r="1097" spans="1:10" ht="20.25" customHeight="1">
      <c r="A1097" s="471">
        <v>5321</v>
      </c>
      <c r="B1097" s="472" t="s">
        <v>445</v>
      </c>
      <c r="C1097" s="473">
        <v>19</v>
      </c>
      <c r="D1097" s="471">
        <v>14438</v>
      </c>
      <c r="E1097" s="474">
        <v>39813</v>
      </c>
      <c r="F1097" s="475" t="s">
        <v>446</v>
      </c>
      <c r="G1097" s="476">
        <v>116</v>
      </c>
      <c r="H1097" s="475" t="s">
        <v>801</v>
      </c>
      <c r="I1097" s="478" t="s">
        <v>865</v>
      </c>
      <c r="J1097" s="496">
        <f>960*1.15</f>
        <v>1104</v>
      </c>
    </row>
    <row r="1098" spans="1:10" ht="20.25" customHeight="1">
      <c r="A1098" s="471">
        <v>5321</v>
      </c>
      <c r="B1098" s="472" t="s">
        <v>445</v>
      </c>
      <c r="C1098" s="473">
        <v>20</v>
      </c>
      <c r="D1098" s="471">
        <v>14438</v>
      </c>
      <c r="E1098" s="474">
        <v>39813</v>
      </c>
      <c r="F1098" s="475" t="s">
        <v>446</v>
      </c>
      <c r="G1098" s="476">
        <v>116</v>
      </c>
      <c r="H1098" s="475" t="s">
        <v>801</v>
      </c>
      <c r="I1098" s="478" t="s">
        <v>866</v>
      </c>
      <c r="J1098" s="496">
        <f>200*1.15</f>
        <v>229.99999999999997</v>
      </c>
    </row>
    <row r="1099" spans="1:10" ht="20.25" customHeight="1">
      <c r="A1099" s="471">
        <v>5321</v>
      </c>
      <c r="B1099" s="472" t="s">
        <v>445</v>
      </c>
      <c r="C1099" s="473">
        <v>21</v>
      </c>
      <c r="D1099" s="471">
        <v>14438</v>
      </c>
      <c r="E1099" s="474">
        <v>39813</v>
      </c>
      <c r="F1099" s="475" t="s">
        <v>446</v>
      </c>
      <c r="G1099" s="476">
        <v>116</v>
      </c>
      <c r="H1099" s="475" t="s">
        <v>801</v>
      </c>
      <c r="I1099" s="478" t="s">
        <v>867</v>
      </c>
      <c r="J1099" s="496">
        <f>(1212.5*1.15)</f>
        <v>1394.375</v>
      </c>
    </row>
    <row r="1100" spans="1:10" ht="20.25" customHeight="1">
      <c r="A1100" s="471">
        <v>5321</v>
      </c>
      <c r="B1100" s="472" t="s">
        <v>445</v>
      </c>
      <c r="C1100" s="473">
        <v>22</v>
      </c>
      <c r="D1100" s="471">
        <v>14438</v>
      </c>
      <c r="E1100" s="474">
        <v>39813</v>
      </c>
      <c r="F1100" s="475" t="s">
        <v>446</v>
      </c>
      <c r="G1100" s="476">
        <v>116</v>
      </c>
      <c r="H1100" s="475" t="s">
        <v>801</v>
      </c>
      <c r="I1100" s="478" t="s">
        <v>868</v>
      </c>
      <c r="J1100" s="496">
        <f xml:space="preserve"> 637.5*1.15</f>
        <v>733.125</v>
      </c>
    </row>
    <row r="1101" spans="1:10" ht="20.25" customHeight="1">
      <c r="A1101" s="471">
        <v>5321</v>
      </c>
      <c r="B1101" s="472" t="s">
        <v>445</v>
      </c>
      <c r="C1101" s="473">
        <v>23</v>
      </c>
      <c r="D1101" s="471">
        <v>14438</v>
      </c>
      <c r="E1101" s="474">
        <v>39813</v>
      </c>
      <c r="F1101" s="475" t="s">
        <v>446</v>
      </c>
      <c r="G1101" s="476">
        <v>116</v>
      </c>
      <c r="H1101" s="475" t="s">
        <v>801</v>
      </c>
      <c r="I1101" s="478" t="s">
        <v>869</v>
      </c>
      <c r="J1101" s="496">
        <f>140.25*1.15</f>
        <v>161.28749999999999</v>
      </c>
    </row>
    <row r="1102" spans="1:10" ht="20.25" customHeight="1">
      <c r="A1102" s="471">
        <v>5321</v>
      </c>
      <c r="B1102" s="472" t="s">
        <v>445</v>
      </c>
      <c r="C1102" s="473">
        <v>24</v>
      </c>
      <c r="D1102" s="471">
        <v>14438</v>
      </c>
      <c r="E1102" s="474">
        <v>39813</v>
      </c>
      <c r="F1102" s="475" t="s">
        <v>446</v>
      </c>
      <c r="G1102" s="476">
        <v>116</v>
      </c>
      <c r="H1102" s="475" t="s">
        <v>801</v>
      </c>
      <c r="I1102" s="478" t="s">
        <v>870</v>
      </c>
      <c r="J1102" s="496">
        <f>3368*1.15</f>
        <v>3873.2</v>
      </c>
    </row>
    <row r="1103" spans="1:10" ht="20.25" customHeight="1">
      <c r="A1103" s="471">
        <v>5321</v>
      </c>
      <c r="B1103" s="472" t="s">
        <v>445</v>
      </c>
      <c r="C1103" s="473">
        <v>25</v>
      </c>
      <c r="D1103" s="471">
        <v>14439</v>
      </c>
      <c r="E1103" s="474">
        <v>39813</v>
      </c>
      <c r="F1103" s="475" t="s">
        <v>446</v>
      </c>
      <c r="G1103" s="476">
        <v>116</v>
      </c>
      <c r="H1103" s="475" t="s">
        <v>801</v>
      </c>
      <c r="I1103" s="478" t="s">
        <v>871</v>
      </c>
      <c r="J1103" s="496">
        <f>625*1.15</f>
        <v>718.75</v>
      </c>
    </row>
    <row r="1104" spans="1:10" ht="20.25" customHeight="1">
      <c r="A1104" s="471">
        <v>5321</v>
      </c>
      <c r="B1104" s="472" t="s">
        <v>445</v>
      </c>
      <c r="C1104" s="473">
        <v>26</v>
      </c>
      <c r="D1104" s="478">
        <v>14439</v>
      </c>
      <c r="E1104" s="474">
        <v>39813</v>
      </c>
      <c r="F1104" s="475" t="s">
        <v>446</v>
      </c>
      <c r="G1104" s="476">
        <v>116</v>
      </c>
      <c r="H1104" s="475" t="s">
        <v>801</v>
      </c>
      <c r="I1104" s="478" t="s">
        <v>872</v>
      </c>
      <c r="J1104" s="496">
        <f>(1824*1.15)</f>
        <v>2097.6</v>
      </c>
    </row>
    <row r="1105" spans="1:10" ht="20.25" customHeight="1">
      <c r="A1105" s="471">
        <v>5321</v>
      </c>
      <c r="B1105" s="472" t="s">
        <v>445</v>
      </c>
      <c r="C1105" s="473">
        <v>27</v>
      </c>
      <c r="D1105" s="471">
        <v>28059</v>
      </c>
      <c r="E1105" s="472">
        <v>40247</v>
      </c>
      <c r="F1105" s="475" t="s">
        <v>873</v>
      </c>
      <c r="G1105" s="476">
        <v>140</v>
      </c>
      <c r="H1105" s="475" t="s">
        <v>874</v>
      </c>
      <c r="I1105" s="498" t="s">
        <v>875</v>
      </c>
      <c r="J1105" s="499">
        <f>46000*1.16</f>
        <v>53359.999999999993</v>
      </c>
    </row>
    <row r="1106" spans="1:10" ht="20.25" customHeight="1">
      <c r="A1106" s="471">
        <v>5411</v>
      </c>
      <c r="B1106" s="472" t="s">
        <v>445</v>
      </c>
      <c r="C1106" s="473">
        <v>1</v>
      </c>
      <c r="D1106" s="471" t="s">
        <v>876</v>
      </c>
      <c r="E1106" s="474">
        <v>39812</v>
      </c>
      <c r="F1106" s="475" t="s">
        <v>877</v>
      </c>
      <c r="G1106" s="476">
        <v>122</v>
      </c>
      <c r="H1106" s="475" t="s">
        <v>878</v>
      </c>
      <c r="I1106" s="478" t="s">
        <v>879</v>
      </c>
      <c r="J1106" s="496">
        <v>330000.01</v>
      </c>
    </row>
    <row r="1107" spans="1:10" ht="20.25" customHeight="1">
      <c r="A1107" s="471">
        <v>5411</v>
      </c>
      <c r="B1107" s="477" t="s">
        <v>445</v>
      </c>
      <c r="C1107" s="480">
        <v>3</v>
      </c>
      <c r="D1107" s="478" t="s">
        <v>880</v>
      </c>
      <c r="E1107" s="475">
        <v>39813</v>
      </c>
      <c r="F1107" s="475" t="s">
        <v>877</v>
      </c>
      <c r="G1107" s="476">
        <v>120</v>
      </c>
      <c r="H1107" s="475" t="s">
        <v>881</v>
      </c>
      <c r="I1107" s="478" t="s">
        <v>882</v>
      </c>
      <c r="J1107" s="502">
        <v>125500</v>
      </c>
    </row>
    <row r="1108" spans="1:10" ht="20.25" customHeight="1">
      <c r="A1108" s="471">
        <v>5411</v>
      </c>
      <c r="B1108" s="477" t="s">
        <v>445</v>
      </c>
      <c r="C1108" s="480">
        <v>2</v>
      </c>
      <c r="D1108" s="478" t="s">
        <v>883</v>
      </c>
      <c r="E1108" s="475">
        <v>39813</v>
      </c>
      <c r="F1108" s="475" t="s">
        <v>877</v>
      </c>
      <c r="G1108" s="476">
        <v>121</v>
      </c>
      <c r="H1108" s="475" t="s">
        <v>884</v>
      </c>
      <c r="I1108" s="478" t="s">
        <v>885</v>
      </c>
      <c r="J1108" s="502">
        <v>218500</v>
      </c>
    </row>
    <row r="1109" spans="1:10" ht="20.25" customHeight="1">
      <c r="A1109" s="471">
        <v>5411</v>
      </c>
      <c r="B1109" s="472" t="s">
        <v>445</v>
      </c>
      <c r="C1109" s="473">
        <v>4</v>
      </c>
      <c r="D1109" s="471">
        <v>48059</v>
      </c>
      <c r="E1109" s="472">
        <v>40015</v>
      </c>
      <c r="F1109" s="475" t="s">
        <v>877</v>
      </c>
      <c r="G1109" s="476">
        <v>123</v>
      </c>
      <c r="H1109" s="475" t="s">
        <v>886</v>
      </c>
      <c r="I1109" s="498" t="s">
        <v>887</v>
      </c>
      <c r="J1109" s="499">
        <v>225979.99</v>
      </c>
    </row>
    <row r="1110" spans="1:10" ht="20.25" customHeight="1">
      <c r="A1110" s="471">
        <v>5411</v>
      </c>
      <c r="B1110" s="472" t="s">
        <v>445</v>
      </c>
      <c r="C1110" s="480">
        <v>5</v>
      </c>
      <c r="D1110" s="471" t="s">
        <v>888</v>
      </c>
      <c r="E1110" s="472">
        <v>40155</v>
      </c>
      <c r="F1110" s="477" t="s">
        <v>877</v>
      </c>
      <c r="G1110" s="479">
        <v>124</v>
      </c>
      <c r="H1110" s="477" t="s">
        <v>889</v>
      </c>
      <c r="I1110" s="498" t="s">
        <v>890</v>
      </c>
      <c r="J1110" s="499">
        <v>2000200</v>
      </c>
    </row>
    <row r="1111" spans="1:10" ht="20.25" customHeight="1">
      <c r="A1111" s="471">
        <v>5411</v>
      </c>
      <c r="B1111" s="477" t="s">
        <v>445</v>
      </c>
      <c r="C1111" s="480">
        <v>6</v>
      </c>
      <c r="D1111" s="478" t="s">
        <v>891</v>
      </c>
      <c r="E1111" s="477">
        <v>40882</v>
      </c>
      <c r="F1111" s="475" t="s">
        <v>877</v>
      </c>
      <c r="G1111" s="476">
        <v>125</v>
      </c>
      <c r="H1111" s="475" t="s">
        <v>892</v>
      </c>
      <c r="I1111" s="498" t="s">
        <v>893</v>
      </c>
      <c r="J1111" s="502">
        <v>376431.02</v>
      </c>
    </row>
    <row r="1112" spans="1:10" ht="20.25" customHeight="1">
      <c r="A1112" s="471">
        <v>5411</v>
      </c>
      <c r="B1112" s="472" t="s">
        <v>445</v>
      </c>
      <c r="C1112" s="473">
        <v>7</v>
      </c>
      <c r="D1112" s="471" t="s">
        <v>894</v>
      </c>
      <c r="E1112" s="474">
        <v>41228</v>
      </c>
      <c r="F1112" s="475" t="s">
        <v>877</v>
      </c>
      <c r="G1112" s="476">
        <v>126</v>
      </c>
      <c r="H1112" s="475" t="s">
        <v>895</v>
      </c>
      <c r="I1112" s="478" t="s">
        <v>896</v>
      </c>
      <c r="J1112" s="496">
        <v>134900</v>
      </c>
    </row>
    <row r="1113" spans="1:10" ht="20.25" customHeight="1">
      <c r="A1113" s="471">
        <v>5411</v>
      </c>
      <c r="B1113" s="472" t="s">
        <v>445</v>
      </c>
      <c r="C1113" s="480">
        <v>8</v>
      </c>
      <c r="D1113" s="484" t="s">
        <v>897</v>
      </c>
      <c r="E1113" s="474">
        <v>42367</v>
      </c>
      <c r="F1113" s="475" t="s">
        <v>877</v>
      </c>
      <c r="G1113" s="476">
        <v>126</v>
      </c>
      <c r="H1113" s="475" t="s">
        <v>895</v>
      </c>
      <c r="I1113" s="478" t="s">
        <v>898</v>
      </c>
      <c r="J1113" s="496">
        <v>164000</v>
      </c>
    </row>
    <row r="1114" spans="1:10" ht="20.25" customHeight="1">
      <c r="A1114" s="471">
        <v>5411</v>
      </c>
      <c r="B1114" s="472" t="s">
        <v>445</v>
      </c>
      <c r="C1114" s="480">
        <v>9</v>
      </c>
      <c r="D1114" s="471" t="s">
        <v>899</v>
      </c>
      <c r="E1114" s="474">
        <v>42367</v>
      </c>
      <c r="F1114" s="475" t="s">
        <v>877</v>
      </c>
      <c r="G1114" s="476">
        <v>126</v>
      </c>
      <c r="H1114" s="475" t="s">
        <v>895</v>
      </c>
      <c r="I1114" s="478" t="s">
        <v>900</v>
      </c>
      <c r="J1114" s="496">
        <v>201900</v>
      </c>
    </row>
    <row r="1115" spans="1:10" ht="20.25" customHeight="1">
      <c r="A1115" s="471">
        <v>5611</v>
      </c>
      <c r="B1115" s="472" t="s">
        <v>445</v>
      </c>
      <c r="C1115" s="473">
        <v>1</v>
      </c>
      <c r="D1115" s="471">
        <v>56967</v>
      </c>
      <c r="E1115" s="472">
        <v>40154</v>
      </c>
      <c r="F1115" s="477" t="s">
        <v>901</v>
      </c>
      <c r="G1115" s="479">
        <v>127</v>
      </c>
      <c r="H1115" s="477" t="s">
        <v>902</v>
      </c>
      <c r="I1115" s="498" t="s">
        <v>903</v>
      </c>
      <c r="J1115" s="499">
        <f>28086.96*1.15</f>
        <v>32300.003999999997</v>
      </c>
    </row>
    <row r="1116" spans="1:10" ht="20.25" customHeight="1">
      <c r="A1116" s="471">
        <v>5611</v>
      </c>
      <c r="B1116" s="472" t="s">
        <v>445</v>
      </c>
      <c r="C1116" s="473">
        <v>2</v>
      </c>
      <c r="D1116" s="471">
        <v>57967</v>
      </c>
      <c r="E1116" s="472">
        <v>40154</v>
      </c>
      <c r="F1116" s="477" t="s">
        <v>901</v>
      </c>
      <c r="G1116" s="479">
        <v>127</v>
      </c>
      <c r="H1116" s="477" t="s">
        <v>902</v>
      </c>
      <c r="I1116" s="498" t="s">
        <v>904</v>
      </c>
      <c r="J1116" s="499">
        <f>4913.04*1.15</f>
        <v>5649.9959999999992</v>
      </c>
    </row>
    <row r="1117" spans="1:10" ht="20.25" customHeight="1">
      <c r="A1117" s="471">
        <v>5611</v>
      </c>
      <c r="B1117" s="472" t="s">
        <v>445</v>
      </c>
      <c r="C1117" s="473">
        <v>3</v>
      </c>
      <c r="D1117" s="471">
        <v>43</v>
      </c>
      <c r="E1117" s="474">
        <v>41759</v>
      </c>
      <c r="F1117" s="475" t="s">
        <v>446</v>
      </c>
      <c r="G1117" s="476">
        <v>128</v>
      </c>
      <c r="H1117" s="475" t="s">
        <v>905</v>
      </c>
      <c r="I1117" s="478" t="s">
        <v>906</v>
      </c>
      <c r="J1117" s="497">
        <v>9000</v>
      </c>
    </row>
    <row r="1118" spans="1:10" ht="20.25" customHeight="1">
      <c r="A1118" s="471">
        <v>5611</v>
      </c>
      <c r="B1118" s="472" t="s">
        <v>445</v>
      </c>
      <c r="C1118" s="473">
        <v>4</v>
      </c>
      <c r="D1118" s="471">
        <v>43</v>
      </c>
      <c r="E1118" s="474">
        <v>41759</v>
      </c>
      <c r="F1118" s="475" t="s">
        <v>446</v>
      </c>
      <c r="G1118" s="476">
        <v>128</v>
      </c>
      <c r="H1118" s="475" t="s">
        <v>905</v>
      </c>
      <c r="I1118" s="478" t="s">
        <v>906</v>
      </c>
      <c r="J1118" s="497">
        <v>9000</v>
      </c>
    </row>
    <row r="1119" spans="1:10" ht="20.25" customHeight="1">
      <c r="A1119" s="471">
        <v>5611</v>
      </c>
      <c r="B1119" s="472" t="s">
        <v>445</v>
      </c>
      <c r="C1119" s="473">
        <v>5</v>
      </c>
      <c r="D1119" s="471">
        <v>43</v>
      </c>
      <c r="E1119" s="474">
        <v>41759</v>
      </c>
      <c r="F1119" s="475" t="s">
        <v>446</v>
      </c>
      <c r="G1119" s="476">
        <v>128</v>
      </c>
      <c r="H1119" s="475" t="s">
        <v>905</v>
      </c>
      <c r="I1119" s="478" t="s">
        <v>906</v>
      </c>
      <c r="J1119" s="497">
        <v>9000</v>
      </c>
    </row>
    <row r="1120" spans="1:10" ht="20.25" customHeight="1">
      <c r="A1120" s="471">
        <v>5611</v>
      </c>
      <c r="B1120" s="472" t="s">
        <v>445</v>
      </c>
      <c r="C1120" s="473">
        <v>6</v>
      </c>
      <c r="D1120" s="471">
        <v>43</v>
      </c>
      <c r="E1120" s="474">
        <v>41759</v>
      </c>
      <c r="F1120" s="475" t="s">
        <v>446</v>
      </c>
      <c r="G1120" s="476">
        <v>128</v>
      </c>
      <c r="H1120" s="475" t="s">
        <v>905</v>
      </c>
      <c r="I1120" s="478" t="s">
        <v>907</v>
      </c>
      <c r="J1120" s="497">
        <v>11300</v>
      </c>
    </row>
    <row r="1121" spans="1:10" ht="20.25" customHeight="1">
      <c r="A1121" s="471">
        <v>5611</v>
      </c>
      <c r="B1121" s="472" t="s">
        <v>445</v>
      </c>
      <c r="C1121" s="473">
        <v>7</v>
      </c>
      <c r="D1121" s="471">
        <v>43</v>
      </c>
      <c r="E1121" s="474">
        <v>41759</v>
      </c>
      <c r="F1121" s="475" t="s">
        <v>446</v>
      </c>
      <c r="G1121" s="476">
        <v>128</v>
      </c>
      <c r="H1121" s="475" t="s">
        <v>905</v>
      </c>
      <c r="I1121" s="478" t="s">
        <v>907</v>
      </c>
      <c r="J1121" s="497">
        <v>11300</v>
      </c>
    </row>
    <row r="1122" spans="1:10" ht="20.25" customHeight="1">
      <c r="A1122" s="471">
        <v>5611</v>
      </c>
      <c r="B1122" s="472" t="s">
        <v>445</v>
      </c>
      <c r="C1122" s="473">
        <v>8</v>
      </c>
      <c r="D1122" s="471">
        <v>43</v>
      </c>
      <c r="E1122" s="474">
        <v>41759</v>
      </c>
      <c r="F1122" s="475" t="s">
        <v>446</v>
      </c>
      <c r="G1122" s="476">
        <v>128</v>
      </c>
      <c r="H1122" s="475" t="s">
        <v>905</v>
      </c>
      <c r="I1122" s="478" t="s">
        <v>907</v>
      </c>
      <c r="J1122" s="497">
        <v>11300</v>
      </c>
    </row>
    <row r="1123" spans="1:10" ht="20.25" customHeight="1">
      <c r="A1123" s="471">
        <v>5611</v>
      </c>
      <c r="B1123" s="472" t="s">
        <v>445</v>
      </c>
      <c r="C1123" s="473">
        <v>9</v>
      </c>
      <c r="D1123" s="471">
        <v>43</v>
      </c>
      <c r="E1123" s="474">
        <v>41759</v>
      </c>
      <c r="F1123" s="475" t="s">
        <v>446</v>
      </c>
      <c r="G1123" s="476">
        <v>128</v>
      </c>
      <c r="H1123" s="475" t="s">
        <v>905</v>
      </c>
      <c r="I1123" s="478" t="s">
        <v>908</v>
      </c>
      <c r="J1123" s="497">
        <v>10000</v>
      </c>
    </row>
    <row r="1124" spans="1:10" ht="20.25" customHeight="1">
      <c r="A1124" s="471">
        <v>5611</v>
      </c>
      <c r="B1124" s="472" t="s">
        <v>445</v>
      </c>
      <c r="C1124" s="473">
        <v>10</v>
      </c>
      <c r="D1124" s="471">
        <v>43</v>
      </c>
      <c r="E1124" s="474">
        <v>41759</v>
      </c>
      <c r="F1124" s="475" t="s">
        <v>446</v>
      </c>
      <c r="G1124" s="476">
        <v>128</v>
      </c>
      <c r="H1124" s="475" t="s">
        <v>905</v>
      </c>
      <c r="I1124" s="478" t="s">
        <v>909</v>
      </c>
      <c r="J1124" s="497">
        <v>4200</v>
      </c>
    </row>
    <row r="1125" spans="1:10" ht="20.25" customHeight="1">
      <c r="A1125" s="471">
        <v>5621</v>
      </c>
      <c r="B1125" s="472" t="s">
        <v>445</v>
      </c>
      <c r="C1125" s="473">
        <v>3</v>
      </c>
      <c r="D1125" s="471">
        <v>42198</v>
      </c>
      <c r="E1125" s="474">
        <v>39171</v>
      </c>
      <c r="F1125" s="475" t="s">
        <v>468</v>
      </c>
      <c r="G1125" s="476">
        <v>136</v>
      </c>
      <c r="H1125" s="475" t="s">
        <v>910</v>
      </c>
      <c r="I1125" s="478" t="s">
        <v>911</v>
      </c>
      <c r="J1125" s="496">
        <v>5045.7</v>
      </c>
    </row>
    <row r="1126" spans="1:10" ht="20.25" customHeight="1">
      <c r="A1126" s="471">
        <v>5621</v>
      </c>
      <c r="B1126" s="472" t="s">
        <v>445</v>
      </c>
      <c r="C1126" s="473">
        <v>4</v>
      </c>
      <c r="D1126" s="471">
        <v>42198</v>
      </c>
      <c r="E1126" s="474">
        <v>39171</v>
      </c>
      <c r="F1126" s="475" t="s">
        <v>468</v>
      </c>
      <c r="G1126" s="476">
        <v>137</v>
      </c>
      <c r="H1126" s="475" t="s">
        <v>912</v>
      </c>
      <c r="I1126" s="478" t="s">
        <v>913</v>
      </c>
      <c r="J1126" s="496">
        <v>3323.5</v>
      </c>
    </row>
    <row r="1127" spans="1:10" ht="20.25" customHeight="1">
      <c r="A1127" s="471">
        <v>5621</v>
      </c>
      <c r="B1127" s="474" t="s">
        <v>445</v>
      </c>
      <c r="C1127" s="473">
        <v>5</v>
      </c>
      <c r="D1127" s="471">
        <v>13127</v>
      </c>
      <c r="E1127" s="474">
        <v>39336</v>
      </c>
      <c r="F1127" s="475" t="s">
        <v>446</v>
      </c>
      <c r="G1127" s="476">
        <v>172</v>
      </c>
      <c r="H1127" s="475" t="s">
        <v>914</v>
      </c>
      <c r="I1127" s="478" t="s">
        <v>915</v>
      </c>
      <c r="J1127" s="497">
        <v>14649.85</v>
      </c>
    </row>
    <row r="1128" spans="1:10" ht="20.25" customHeight="1">
      <c r="A1128" s="471">
        <v>5621</v>
      </c>
      <c r="B1128" s="474" t="s">
        <v>445</v>
      </c>
      <c r="C1128" s="473">
        <v>6</v>
      </c>
      <c r="D1128" s="471">
        <v>13127</v>
      </c>
      <c r="E1128" s="474">
        <v>39336</v>
      </c>
      <c r="F1128" s="475" t="s">
        <v>446</v>
      </c>
      <c r="G1128" s="476">
        <v>172</v>
      </c>
      <c r="H1128" s="475" t="s">
        <v>914</v>
      </c>
      <c r="I1128" s="478" t="s">
        <v>915</v>
      </c>
      <c r="J1128" s="497">
        <v>14649.85</v>
      </c>
    </row>
    <row r="1129" spans="1:10" ht="20.25" customHeight="1">
      <c r="A1129" s="471">
        <v>5621</v>
      </c>
      <c r="B1129" s="474" t="s">
        <v>445</v>
      </c>
      <c r="C1129" s="473">
        <v>7</v>
      </c>
      <c r="D1129" s="471">
        <v>13127</v>
      </c>
      <c r="E1129" s="474">
        <v>39336</v>
      </c>
      <c r="F1129" s="475" t="s">
        <v>446</v>
      </c>
      <c r="G1129" s="476">
        <v>172</v>
      </c>
      <c r="H1129" s="475" t="s">
        <v>914</v>
      </c>
      <c r="I1129" s="478" t="s">
        <v>915</v>
      </c>
      <c r="J1129" s="497">
        <v>14649.85</v>
      </c>
    </row>
    <row r="1130" spans="1:10" ht="20.25" customHeight="1">
      <c r="A1130" s="471">
        <v>5621</v>
      </c>
      <c r="B1130" s="474" t="s">
        <v>445</v>
      </c>
      <c r="C1130" s="473">
        <v>8</v>
      </c>
      <c r="D1130" s="471">
        <v>13127</v>
      </c>
      <c r="E1130" s="474">
        <v>39336</v>
      </c>
      <c r="F1130" s="475" t="s">
        <v>446</v>
      </c>
      <c r="G1130" s="476">
        <v>172</v>
      </c>
      <c r="H1130" s="475" t="s">
        <v>914</v>
      </c>
      <c r="I1130" s="478" t="s">
        <v>915</v>
      </c>
      <c r="J1130" s="497">
        <v>14649.85</v>
      </c>
    </row>
    <row r="1131" spans="1:10" ht="20.25" customHeight="1">
      <c r="A1131" s="471">
        <v>5621</v>
      </c>
      <c r="B1131" s="474" t="s">
        <v>445</v>
      </c>
      <c r="C1131" s="473">
        <v>9</v>
      </c>
      <c r="D1131" s="471">
        <v>13127</v>
      </c>
      <c r="E1131" s="474">
        <v>39336</v>
      </c>
      <c r="F1131" s="475" t="s">
        <v>446</v>
      </c>
      <c r="G1131" s="476">
        <v>172</v>
      </c>
      <c r="H1131" s="475" t="s">
        <v>914</v>
      </c>
      <c r="I1131" s="478" t="s">
        <v>915</v>
      </c>
      <c r="J1131" s="497">
        <v>14649.85</v>
      </c>
    </row>
    <row r="1132" spans="1:10" ht="20.25" customHeight="1">
      <c r="A1132" s="471">
        <v>5621</v>
      </c>
      <c r="B1132" s="474" t="s">
        <v>445</v>
      </c>
      <c r="C1132" s="473">
        <v>10</v>
      </c>
      <c r="D1132" s="471">
        <v>13127</v>
      </c>
      <c r="E1132" s="474">
        <v>39336</v>
      </c>
      <c r="F1132" s="475" t="s">
        <v>446</v>
      </c>
      <c r="G1132" s="476">
        <v>172</v>
      </c>
      <c r="H1132" s="475" t="s">
        <v>914</v>
      </c>
      <c r="I1132" s="478" t="s">
        <v>915</v>
      </c>
      <c r="J1132" s="497">
        <v>14649.85</v>
      </c>
    </row>
    <row r="1133" spans="1:10" ht="20.25" customHeight="1">
      <c r="A1133" s="471">
        <v>5621</v>
      </c>
      <c r="B1133" s="474" t="s">
        <v>445</v>
      </c>
      <c r="C1133" s="473">
        <v>11</v>
      </c>
      <c r="D1133" s="471">
        <v>13127</v>
      </c>
      <c r="E1133" s="474">
        <v>39336</v>
      </c>
      <c r="F1133" s="475" t="s">
        <v>446</v>
      </c>
      <c r="G1133" s="476">
        <v>172</v>
      </c>
      <c r="H1133" s="475" t="s">
        <v>914</v>
      </c>
      <c r="I1133" s="478" t="s">
        <v>915</v>
      </c>
      <c r="J1133" s="497">
        <v>14649.85</v>
      </c>
    </row>
    <row r="1134" spans="1:10" ht="20.25" customHeight="1">
      <c r="A1134" s="471">
        <v>5621</v>
      </c>
      <c r="B1134" s="474" t="s">
        <v>445</v>
      </c>
      <c r="C1134" s="473">
        <v>12</v>
      </c>
      <c r="D1134" s="471">
        <v>13127</v>
      </c>
      <c r="E1134" s="474">
        <v>39336</v>
      </c>
      <c r="F1134" s="475" t="s">
        <v>446</v>
      </c>
      <c r="G1134" s="476">
        <v>172</v>
      </c>
      <c r="H1134" s="475" t="s">
        <v>914</v>
      </c>
      <c r="I1134" s="478" t="s">
        <v>915</v>
      </c>
      <c r="J1134" s="497">
        <v>14649.85</v>
      </c>
    </row>
    <row r="1135" spans="1:10" ht="20.25" customHeight="1">
      <c r="A1135" s="471">
        <v>5621</v>
      </c>
      <c r="B1135" s="474" t="s">
        <v>445</v>
      </c>
      <c r="C1135" s="473">
        <v>13</v>
      </c>
      <c r="D1135" s="471">
        <v>13127</v>
      </c>
      <c r="E1135" s="474">
        <v>39336</v>
      </c>
      <c r="F1135" s="475" t="s">
        <v>446</v>
      </c>
      <c r="G1135" s="476">
        <v>172</v>
      </c>
      <c r="H1135" s="475" t="s">
        <v>914</v>
      </c>
      <c r="I1135" s="478" t="s">
        <v>915</v>
      </c>
      <c r="J1135" s="497">
        <v>14649.85</v>
      </c>
    </row>
    <row r="1136" spans="1:10" ht="20.25" customHeight="1">
      <c r="A1136" s="471">
        <v>5621</v>
      </c>
      <c r="B1136" s="474" t="s">
        <v>445</v>
      </c>
      <c r="C1136" s="473">
        <v>14</v>
      </c>
      <c r="D1136" s="471">
        <v>13127</v>
      </c>
      <c r="E1136" s="474">
        <v>39336</v>
      </c>
      <c r="F1136" s="475" t="s">
        <v>446</v>
      </c>
      <c r="G1136" s="476">
        <v>172</v>
      </c>
      <c r="H1136" s="475" t="s">
        <v>914</v>
      </c>
      <c r="I1136" s="478" t="s">
        <v>915</v>
      </c>
      <c r="J1136" s="497">
        <v>14649.85</v>
      </c>
    </row>
    <row r="1137" spans="1:10" ht="20.25" customHeight="1">
      <c r="A1137" s="471">
        <v>5621</v>
      </c>
      <c r="B1137" s="472" t="s">
        <v>445</v>
      </c>
      <c r="C1137" s="473">
        <v>15</v>
      </c>
      <c r="D1137" s="471">
        <v>11495</v>
      </c>
      <c r="E1137" s="474">
        <v>39539</v>
      </c>
      <c r="F1137" s="475" t="s">
        <v>873</v>
      </c>
      <c r="G1137" s="476">
        <v>129</v>
      </c>
      <c r="H1137" s="475" t="s">
        <v>916</v>
      </c>
      <c r="I1137" s="478" t="s">
        <v>917</v>
      </c>
      <c r="J1137" s="496">
        <v>206323.61</v>
      </c>
    </row>
    <row r="1138" spans="1:10" ht="20.25" customHeight="1">
      <c r="A1138" s="471">
        <v>5621</v>
      </c>
      <c r="B1138" s="472" t="s">
        <v>445</v>
      </c>
      <c r="C1138" s="473">
        <v>16</v>
      </c>
      <c r="D1138" s="471">
        <v>4946</v>
      </c>
      <c r="E1138" s="474">
        <v>39602</v>
      </c>
      <c r="F1138" s="475" t="s">
        <v>873</v>
      </c>
      <c r="G1138" s="476">
        <v>130</v>
      </c>
      <c r="H1138" s="475" t="s">
        <v>918</v>
      </c>
      <c r="I1138" s="478" t="s">
        <v>919</v>
      </c>
      <c r="J1138" s="496">
        <f>17080*1.15</f>
        <v>19642</v>
      </c>
    </row>
    <row r="1139" spans="1:10" ht="20.25" customHeight="1">
      <c r="A1139" s="471">
        <v>5621</v>
      </c>
      <c r="B1139" s="472" t="s">
        <v>445</v>
      </c>
      <c r="C1139" s="473">
        <v>17</v>
      </c>
      <c r="D1139" s="471">
        <v>4946</v>
      </c>
      <c r="E1139" s="474">
        <v>39602</v>
      </c>
      <c r="F1139" s="475" t="s">
        <v>873</v>
      </c>
      <c r="G1139" s="476">
        <v>131</v>
      </c>
      <c r="H1139" s="475" t="s">
        <v>920</v>
      </c>
      <c r="I1139" s="478" t="s">
        <v>921</v>
      </c>
      <c r="J1139" s="496">
        <f>258000*1.15</f>
        <v>296700</v>
      </c>
    </row>
    <row r="1140" spans="1:10" ht="20.25" customHeight="1">
      <c r="A1140" s="471">
        <v>5621</v>
      </c>
      <c r="B1140" s="472" t="s">
        <v>445</v>
      </c>
      <c r="C1140" s="473">
        <v>18</v>
      </c>
      <c r="D1140" s="471">
        <v>4946</v>
      </c>
      <c r="E1140" s="474">
        <v>39602</v>
      </c>
      <c r="F1140" s="475" t="s">
        <v>873</v>
      </c>
      <c r="G1140" s="476">
        <v>132</v>
      </c>
      <c r="H1140" s="475" t="s">
        <v>922</v>
      </c>
      <c r="I1140" s="478" t="s">
        <v>923</v>
      </c>
      <c r="J1140" s="496">
        <f>52000*1.15</f>
        <v>59799.999999999993</v>
      </c>
    </row>
    <row r="1141" spans="1:10" ht="20.25" customHeight="1">
      <c r="A1141" s="471">
        <v>5621</v>
      </c>
      <c r="B1141" s="472" t="s">
        <v>445</v>
      </c>
      <c r="C1141" s="473">
        <v>19</v>
      </c>
      <c r="D1141" s="471">
        <v>4946</v>
      </c>
      <c r="E1141" s="474">
        <v>39602</v>
      </c>
      <c r="F1141" s="475" t="s">
        <v>873</v>
      </c>
      <c r="G1141" s="476">
        <v>132</v>
      </c>
      <c r="H1141" s="475" t="s">
        <v>922</v>
      </c>
      <c r="I1141" s="478" t="s">
        <v>923</v>
      </c>
      <c r="J1141" s="496">
        <f>52000*1.15</f>
        <v>59799.999999999993</v>
      </c>
    </row>
    <row r="1142" spans="1:10" ht="20.25" customHeight="1">
      <c r="A1142" s="471">
        <v>5621</v>
      </c>
      <c r="B1142" s="472" t="s">
        <v>445</v>
      </c>
      <c r="C1142" s="473">
        <v>20</v>
      </c>
      <c r="D1142" s="471">
        <v>4946</v>
      </c>
      <c r="E1142" s="474">
        <v>39602</v>
      </c>
      <c r="F1142" s="475" t="s">
        <v>873</v>
      </c>
      <c r="G1142" s="476">
        <v>133</v>
      </c>
      <c r="H1142" s="475" t="s">
        <v>924</v>
      </c>
      <c r="I1142" s="478" t="s">
        <v>925</v>
      </c>
      <c r="J1142" s="496">
        <f>196000*1.15</f>
        <v>225399.99999999997</v>
      </c>
    </row>
    <row r="1143" spans="1:10" ht="20.25" customHeight="1">
      <c r="A1143" s="471">
        <v>5621</v>
      </c>
      <c r="B1143" s="472" t="s">
        <v>445</v>
      </c>
      <c r="C1143" s="473">
        <v>21</v>
      </c>
      <c r="D1143" s="471">
        <v>4946</v>
      </c>
      <c r="E1143" s="474">
        <v>39602</v>
      </c>
      <c r="F1143" s="475" t="s">
        <v>873</v>
      </c>
      <c r="G1143" s="476">
        <v>134</v>
      </c>
      <c r="H1143" s="475" t="s">
        <v>926</v>
      </c>
      <c r="I1143" s="478" t="s">
        <v>927</v>
      </c>
      <c r="J1143" s="496">
        <f>250000*1.15</f>
        <v>287500</v>
      </c>
    </row>
    <row r="1144" spans="1:10" ht="20.25" customHeight="1">
      <c r="A1144" s="471">
        <v>5621</v>
      </c>
      <c r="B1144" s="472" t="s">
        <v>445</v>
      </c>
      <c r="C1144" s="473">
        <v>22</v>
      </c>
      <c r="D1144" s="471">
        <v>4946</v>
      </c>
      <c r="E1144" s="474">
        <v>39602</v>
      </c>
      <c r="F1144" s="475" t="s">
        <v>873</v>
      </c>
      <c r="G1144" s="476">
        <v>135</v>
      </c>
      <c r="H1144" s="475" t="s">
        <v>928</v>
      </c>
      <c r="I1144" s="478" t="s">
        <v>929</v>
      </c>
      <c r="J1144" s="496">
        <v>45456.78</v>
      </c>
    </row>
    <row r="1145" spans="1:10" ht="20.25" customHeight="1">
      <c r="A1145" s="471">
        <v>5621</v>
      </c>
      <c r="B1145" s="472" t="s">
        <v>445</v>
      </c>
      <c r="C1145" s="473">
        <v>23</v>
      </c>
      <c r="D1145" s="471">
        <v>14438</v>
      </c>
      <c r="E1145" s="474">
        <v>39813</v>
      </c>
      <c r="F1145" s="475" t="s">
        <v>446</v>
      </c>
      <c r="G1145" s="476">
        <v>116</v>
      </c>
      <c r="H1145" s="475" t="s">
        <v>801</v>
      </c>
      <c r="I1145" s="478" t="s">
        <v>930</v>
      </c>
      <c r="J1145" s="496">
        <v>2370.77</v>
      </c>
    </row>
    <row r="1146" spans="1:10" ht="20.25" customHeight="1">
      <c r="A1146" s="471">
        <v>5621</v>
      </c>
      <c r="B1146" s="472" t="s">
        <v>445</v>
      </c>
      <c r="C1146" s="473">
        <v>24</v>
      </c>
      <c r="D1146" s="471">
        <v>4238</v>
      </c>
      <c r="E1146" s="472">
        <v>40196</v>
      </c>
      <c r="F1146" s="475" t="s">
        <v>873</v>
      </c>
      <c r="G1146" s="476">
        <v>138</v>
      </c>
      <c r="H1146" s="475" t="s">
        <v>931</v>
      </c>
      <c r="I1146" s="498" t="s">
        <v>932</v>
      </c>
      <c r="J1146" s="499">
        <v>23317.74</v>
      </c>
    </row>
    <row r="1147" spans="1:10" ht="20.25" customHeight="1">
      <c r="A1147" s="471">
        <v>5621</v>
      </c>
      <c r="B1147" s="472" t="s">
        <v>445</v>
      </c>
      <c r="C1147" s="473">
        <v>25</v>
      </c>
      <c r="D1147" s="471">
        <v>28059</v>
      </c>
      <c r="E1147" s="472">
        <v>40247</v>
      </c>
      <c r="F1147" s="475" t="s">
        <v>873</v>
      </c>
      <c r="G1147" s="476">
        <v>139</v>
      </c>
      <c r="H1147" s="475" t="s">
        <v>933</v>
      </c>
      <c r="I1147" s="498" t="s">
        <v>934</v>
      </c>
      <c r="J1147" s="499">
        <f>57140*1.16</f>
        <v>66282.399999999994</v>
      </c>
    </row>
    <row r="1148" spans="1:10" ht="20.25" customHeight="1">
      <c r="A1148" s="471">
        <v>5621</v>
      </c>
      <c r="B1148" s="472" t="s">
        <v>445</v>
      </c>
      <c r="C1148" s="473">
        <v>26</v>
      </c>
      <c r="D1148" s="471">
        <v>28059</v>
      </c>
      <c r="E1148" s="472">
        <v>40247</v>
      </c>
      <c r="F1148" s="475" t="s">
        <v>873</v>
      </c>
      <c r="G1148" s="476">
        <v>141</v>
      </c>
      <c r="H1148" s="475" t="s">
        <v>935</v>
      </c>
      <c r="I1148" s="498" t="s">
        <v>936</v>
      </c>
      <c r="J1148" s="499">
        <f>26487*1.16</f>
        <v>30724.92</v>
      </c>
    </row>
    <row r="1149" spans="1:10" ht="20.25" customHeight="1">
      <c r="A1149" s="471">
        <v>5621</v>
      </c>
      <c r="B1149" s="472" t="s">
        <v>445</v>
      </c>
      <c r="C1149" s="473">
        <v>27</v>
      </c>
      <c r="D1149" s="471">
        <v>28059</v>
      </c>
      <c r="E1149" s="472">
        <v>40247</v>
      </c>
      <c r="F1149" s="475" t="s">
        <v>873</v>
      </c>
      <c r="G1149" s="476">
        <v>142</v>
      </c>
      <c r="H1149" s="475" t="s">
        <v>937</v>
      </c>
      <c r="I1149" s="498" t="s">
        <v>938</v>
      </c>
      <c r="J1149" s="499">
        <f>16678*1.16</f>
        <v>19346.48</v>
      </c>
    </row>
    <row r="1150" spans="1:10" ht="20.25" customHeight="1">
      <c r="A1150" s="471">
        <v>5621</v>
      </c>
      <c r="B1150" s="472" t="s">
        <v>445</v>
      </c>
      <c r="C1150" s="473">
        <v>28</v>
      </c>
      <c r="D1150" s="471">
        <v>1396</v>
      </c>
      <c r="E1150" s="472">
        <v>40256</v>
      </c>
      <c r="F1150" s="475" t="s">
        <v>873</v>
      </c>
      <c r="G1150" s="476">
        <v>143</v>
      </c>
      <c r="H1150" s="475" t="s">
        <v>939</v>
      </c>
      <c r="I1150" s="498" t="s">
        <v>940</v>
      </c>
      <c r="J1150" s="499">
        <f>52135.71*1.16</f>
        <v>60477.423599999995</v>
      </c>
    </row>
    <row r="1151" spans="1:10" ht="20.25" customHeight="1">
      <c r="A1151" s="471">
        <v>5621</v>
      </c>
      <c r="B1151" s="472" t="s">
        <v>445</v>
      </c>
      <c r="C1151" s="473">
        <v>29</v>
      </c>
      <c r="D1151" s="471">
        <v>1396</v>
      </c>
      <c r="E1151" s="472">
        <v>40256</v>
      </c>
      <c r="F1151" s="475" t="s">
        <v>873</v>
      </c>
      <c r="G1151" s="476">
        <v>144</v>
      </c>
      <c r="H1151" s="475" t="s">
        <v>941</v>
      </c>
      <c r="I1151" s="498" t="s">
        <v>942</v>
      </c>
      <c r="J1151" s="499">
        <f>15526.67*1.16</f>
        <v>18010.9372</v>
      </c>
    </row>
    <row r="1152" spans="1:10" ht="20.25" customHeight="1">
      <c r="A1152" s="471">
        <v>5621</v>
      </c>
      <c r="B1152" s="472" t="s">
        <v>445</v>
      </c>
      <c r="C1152" s="473">
        <v>30</v>
      </c>
      <c r="D1152" s="471">
        <v>1396</v>
      </c>
      <c r="E1152" s="472">
        <v>40256</v>
      </c>
      <c r="F1152" s="475" t="s">
        <v>873</v>
      </c>
      <c r="G1152" s="476">
        <v>145</v>
      </c>
      <c r="H1152" s="475" t="s">
        <v>943</v>
      </c>
      <c r="I1152" s="498" t="s">
        <v>944</v>
      </c>
      <c r="J1152" s="499">
        <f>6923.08*1.16</f>
        <v>8030.7727999999997</v>
      </c>
    </row>
    <row r="1153" spans="1:10" ht="20.25" customHeight="1">
      <c r="A1153" s="471">
        <v>5621</v>
      </c>
      <c r="B1153" s="472" t="s">
        <v>445</v>
      </c>
      <c r="C1153" s="473">
        <v>31</v>
      </c>
      <c r="D1153" s="471">
        <v>1396</v>
      </c>
      <c r="E1153" s="472">
        <v>40256</v>
      </c>
      <c r="F1153" s="475" t="s">
        <v>873</v>
      </c>
      <c r="G1153" s="476">
        <v>146</v>
      </c>
      <c r="H1153" s="475" t="s">
        <v>945</v>
      </c>
      <c r="I1153" s="498" t="s">
        <v>946</v>
      </c>
      <c r="J1153" s="499">
        <f>42307.69*1.16</f>
        <v>49076.920400000003</v>
      </c>
    </row>
    <row r="1154" spans="1:10" ht="20.25" customHeight="1">
      <c r="A1154" s="471">
        <v>5621</v>
      </c>
      <c r="B1154" s="472" t="s">
        <v>445</v>
      </c>
      <c r="C1154" s="473">
        <v>56</v>
      </c>
      <c r="D1154" s="471">
        <v>2053</v>
      </c>
      <c r="E1154" s="474">
        <v>40256</v>
      </c>
      <c r="F1154" s="475" t="s">
        <v>873</v>
      </c>
      <c r="G1154" s="476">
        <v>147</v>
      </c>
      <c r="H1154" s="475" t="s">
        <v>947</v>
      </c>
      <c r="I1154" s="478" t="s">
        <v>948</v>
      </c>
      <c r="J1154" s="496">
        <f>124970*1.16</f>
        <v>144965.19999999998</v>
      </c>
    </row>
    <row r="1155" spans="1:10" ht="20.25" customHeight="1">
      <c r="A1155" s="471">
        <v>5621</v>
      </c>
      <c r="B1155" s="472" t="s">
        <v>445</v>
      </c>
      <c r="C1155" s="473">
        <v>32</v>
      </c>
      <c r="D1155" s="471">
        <v>1494</v>
      </c>
      <c r="E1155" s="472">
        <v>40344</v>
      </c>
      <c r="F1155" s="475" t="s">
        <v>873</v>
      </c>
      <c r="G1155" s="476">
        <v>148</v>
      </c>
      <c r="H1155" s="475" t="s">
        <v>949</v>
      </c>
      <c r="I1155" s="498" t="s">
        <v>950</v>
      </c>
      <c r="J1155" s="499">
        <f>40000*1.16</f>
        <v>46400</v>
      </c>
    </row>
    <row r="1156" spans="1:10" ht="20.25" customHeight="1">
      <c r="A1156" s="471">
        <v>5621</v>
      </c>
      <c r="B1156" s="472" t="s">
        <v>445</v>
      </c>
      <c r="C1156" s="473">
        <v>33</v>
      </c>
      <c r="D1156" s="471">
        <v>1494</v>
      </c>
      <c r="E1156" s="472">
        <v>40344</v>
      </c>
      <c r="F1156" s="475" t="s">
        <v>446</v>
      </c>
      <c r="G1156" s="476">
        <v>149</v>
      </c>
      <c r="H1156" s="475" t="s">
        <v>951</v>
      </c>
      <c r="I1156" s="498" t="s">
        <v>952</v>
      </c>
      <c r="J1156" s="499">
        <f>10769.23*1.16</f>
        <v>12492.306799999998</v>
      </c>
    </row>
    <row r="1157" spans="1:10" ht="20.25" customHeight="1">
      <c r="A1157" s="471">
        <v>5621</v>
      </c>
      <c r="B1157" s="472" t="s">
        <v>445</v>
      </c>
      <c r="C1157" s="473">
        <v>34</v>
      </c>
      <c r="D1157" s="471">
        <v>1494</v>
      </c>
      <c r="E1157" s="472">
        <v>40344</v>
      </c>
      <c r="F1157" s="475" t="s">
        <v>873</v>
      </c>
      <c r="G1157" s="476">
        <v>150</v>
      </c>
      <c r="H1157" s="475" t="s">
        <v>953</v>
      </c>
      <c r="I1157" s="498" t="s">
        <v>954</v>
      </c>
      <c r="J1157" s="499">
        <f>250000*1.16</f>
        <v>290000</v>
      </c>
    </row>
    <row r="1158" spans="1:10" ht="20.25" customHeight="1">
      <c r="A1158" s="471">
        <v>5621</v>
      </c>
      <c r="B1158" s="472" t="s">
        <v>445</v>
      </c>
      <c r="C1158" s="473">
        <v>35</v>
      </c>
      <c r="D1158" s="471">
        <v>1534</v>
      </c>
      <c r="E1158" s="472">
        <v>40379</v>
      </c>
      <c r="F1158" s="475" t="s">
        <v>873</v>
      </c>
      <c r="G1158" s="476">
        <v>151</v>
      </c>
      <c r="H1158" s="475" t="s">
        <v>955</v>
      </c>
      <c r="I1158" s="498" t="s">
        <v>956</v>
      </c>
      <c r="J1158" s="499">
        <v>192738.47</v>
      </c>
    </row>
    <row r="1159" spans="1:10" ht="20.25" customHeight="1">
      <c r="A1159" s="471">
        <v>5621</v>
      </c>
      <c r="B1159" s="472" t="s">
        <v>445</v>
      </c>
      <c r="C1159" s="473">
        <v>36</v>
      </c>
      <c r="D1159" s="471">
        <v>8797</v>
      </c>
      <c r="E1159" s="472">
        <v>40429</v>
      </c>
      <c r="F1159" s="475" t="s">
        <v>446</v>
      </c>
      <c r="G1159" s="476">
        <v>152</v>
      </c>
      <c r="H1159" s="475" t="s">
        <v>957</v>
      </c>
      <c r="I1159" s="498" t="s">
        <v>958</v>
      </c>
      <c r="J1159" s="499">
        <f>17405.7*1.16</f>
        <v>20190.612000000001</v>
      </c>
    </row>
    <row r="1160" spans="1:10" ht="20.25" customHeight="1">
      <c r="A1160" s="471">
        <v>5621</v>
      </c>
      <c r="B1160" s="472" t="s">
        <v>445</v>
      </c>
      <c r="C1160" s="473">
        <v>37</v>
      </c>
      <c r="D1160" s="471">
        <v>8797</v>
      </c>
      <c r="E1160" s="472">
        <v>40442</v>
      </c>
      <c r="F1160" s="475" t="s">
        <v>873</v>
      </c>
      <c r="G1160" s="476">
        <v>153</v>
      </c>
      <c r="H1160" s="475" t="s">
        <v>959</v>
      </c>
      <c r="I1160" s="498" t="s">
        <v>960</v>
      </c>
      <c r="J1160" s="499">
        <f>156000*1.16</f>
        <v>180960</v>
      </c>
    </row>
    <row r="1161" spans="1:10" ht="20.25" customHeight="1">
      <c r="A1161" s="471">
        <v>5621</v>
      </c>
      <c r="B1161" s="472" t="s">
        <v>445</v>
      </c>
      <c r="C1161" s="473">
        <v>38</v>
      </c>
      <c r="D1161" s="471">
        <v>1634</v>
      </c>
      <c r="E1161" s="472">
        <v>40462</v>
      </c>
      <c r="F1161" s="475" t="s">
        <v>873</v>
      </c>
      <c r="G1161" s="476">
        <v>154</v>
      </c>
      <c r="H1161" s="475" t="s">
        <v>961</v>
      </c>
      <c r="I1161" s="498" t="s">
        <v>962</v>
      </c>
      <c r="J1161" s="499">
        <f>72500*1.16</f>
        <v>84100</v>
      </c>
    </row>
    <row r="1162" spans="1:10" ht="20.25" customHeight="1">
      <c r="A1162" s="471">
        <v>5621</v>
      </c>
      <c r="B1162" s="472" t="s">
        <v>445</v>
      </c>
      <c r="C1162" s="473">
        <v>39</v>
      </c>
      <c r="D1162" s="471">
        <v>1634</v>
      </c>
      <c r="E1162" s="472">
        <v>40462</v>
      </c>
      <c r="F1162" s="475" t="s">
        <v>468</v>
      </c>
      <c r="G1162" s="476">
        <v>155</v>
      </c>
      <c r="H1162" s="475" t="s">
        <v>963</v>
      </c>
      <c r="I1162" s="498" t="s">
        <v>964</v>
      </c>
      <c r="J1162" s="499">
        <f>91428.57*1.16</f>
        <v>106057.1412</v>
      </c>
    </row>
    <row r="1163" spans="1:10" ht="20.25" customHeight="1">
      <c r="A1163" s="471">
        <v>5621</v>
      </c>
      <c r="B1163" s="472" t="s">
        <v>445</v>
      </c>
      <c r="C1163" s="473">
        <v>40</v>
      </c>
      <c r="D1163" s="471">
        <v>1634</v>
      </c>
      <c r="E1163" s="472">
        <v>40462</v>
      </c>
      <c r="F1163" s="475" t="s">
        <v>446</v>
      </c>
      <c r="G1163" s="476">
        <v>156</v>
      </c>
      <c r="H1163" s="475" t="s">
        <v>965</v>
      </c>
      <c r="I1163" s="498" t="s">
        <v>966</v>
      </c>
      <c r="J1163" s="499">
        <f>1857.14*1.16</f>
        <v>2154.2824000000001</v>
      </c>
    </row>
    <row r="1164" spans="1:10" ht="20.25" customHeight="1">
      <c r="A1164" s="471">
        <v>5621</v>
      </c>
      <c r="B1164" s="472" t="s">
        <v>445</v>
      </c>
      <c r="C1164" s="473">
        <v>41</v>
      </c>
      <c r="D1164" s="471">
        <v>1634</v>
      </c>
      <c r="E1164" s="472">
        <v>40462</v>
      </c>
      <c r="F1164" s="475" t="s">
        <v>446</v>
      </c>
      <c r="G1164" s="476">
        <v>157</v>
      </c>
      <c r="H1164" s="475" t="s">
        <v>967</v>
      </c>
      <c r="I1164" s="498" t="s">
        <v>968</v>
      </c>
      <c r="J1164" s="499">
        <f>3414.29*1.16</f>
        <v>3960.5763999999995</v>
      </c>
    </row>
    <row r="1165" spans="1:10" ht="20.25" customHeight="1">
      <c r="A1165" s="471">
        <v>5621</v>
      </c>
      <c r="B1165" s="472" t="s">
        <v>445</v>
      </c>
      <c r="C1165" s="473">
        <v>42</v>
      </c>
      <c r="D1165" s="471">
        <v>1634</v>
      </c>
      <c r="E1165" s="472">
        <v>40462</v>
      </c>
      <c r="F1165" s="475" t="s">
        <v>468</v>
      </c>
      <c r="G1165" s="476">
        <v>158</v>
      </c>
      <c r="H1165" s="475" t="s">
        <v>969</v>
      </c>
      <c r="I1165" s="498" t="s">
        <v>970</v>
      </c>
      <c r="J1165" s="499">
        <f>8571.42*1.16</f>
        <v>9942.8472000000002</v>
      </c>
    </row>
    <row r="1166" spans="1:10" ht="20.25" customHeight="1">
      <c r="A1166" s="471">
        <v>5621</v>
      </c>
      <c r="B1166" s="472" t="s">
        <v>445</v>
      </c>
      <c r="C1166" s="473">
        <v>43</v>
      </c>
      <c r="D1166" s="471">
        <v>1634</v>
      </c>
      <c r="E1166" s="472">
        <v>40462</v>
      </c>
      <c r="F1166" s="475" t="s">
        <v>468</v>
      </c>
      <c r="G1166" s="476">
        <v>159</v>
      </c>
      <c r="H1166" s="475" t="s">
        <v>971</v>
      </c>
      <c r="I1166" s="498" t="s">
        <v>972</v>
      </c>
      <c r="J1166" s="499">
        <f>17142.86*1.16</f>
        <v>19885.7176</v>
      </c>
    </row>
    <row r="1167" spans="1:10" ht="20.25" customHeight="1">
      <c r="A1167" s="471">
        <v>5621</v>
      </c>
      <c r="B1167" s="472" t="s">
        <v>445</v>
      </c>
      <c r="C1167" s="473">
        <v>44</v>
      </c>
      <c r="D1167" s="471">
        <v>1822</v>
      </c>
      <c r="E1167" s="472">
        <v>40603</v>
      </c>
      <c r="F1167" s="475" t="s">
        <v>873</v>
      </c>
      <c r="G1167" s="476">
        <v>161</v>
      </c>
      <c r="H1167" s="475" t="s">
        <v>973</v>
      </c>
      <c r="I1167" s="498" t="s">
        <v>974</v>
      </c>
      <c r="J1167" s="499">
        <f>52500*1.16</f>
        <v>60899.999999999993</v>
      </c>
    </row>
    <row r="1168" spans="1:10" ht="20.25" customHeight="1">
      <c r="A1168" s="471">
        <v>5621</v>
      </c>
      <c r="B1168" s="472" t="s">
        <v>445</v>
      </c>
      <c r="C1168" s="473">
        <v>45</v>
      </c>
      <c r="D1168" s="471">
        <v>1822</v>
      </c>
      <c r="E1168" s="472">
        <v>40603</v>
      </c>
      <c r="F1168" s="475" t="s">
        <v>873</v>
      </c>
      <c r="G1168" s="476">
        <v>162</v>
      </c>
      <c r="H1168" s="475" t="s">
        <v>975</v>
      </c>
      <c r="I1168" s="498" t="s">
        <v>976</v>
      </c>
      <c r="J1168" s="499">
        <f>133000*1.16</f>
        <v>154280</v>
      </c>
    </row>
    <row r="1169" spans="1:10" ht="20.25" customHeight="1">
      <c r="A1169" s="471">
        <v>5621</v>
      </c>
      <c r="B1169" s="472" t="s">
        <v>445</v>
      </c>
      <c r="C1169" s="473">
        <v>46</v>
      </c>
      <c r="D1169" s="471">
        <v>1822</v>
      </c>
      <c r="E1169" s="472">
        <v>40603</v>
      </c>
      <c r="F1169" s="475" t="s">
        <v>873</v>
      </c>
      <c r="G1169" s="476">
        <v>163</v>
      </c>
      <c r="H1169" s="475" t="s">
        <v>977</v>
      </c>
      <c r="I1169" s="498" t="s">
        <v>978</v>
      </c>
      <c r="J1169" s="499">
        <f>16214.19*1.16</f>
        <v>18808.4604</v>
      </c>
    </row>
    <row r="1170" spans="1:10" ht="20.25" customHeight="1">
      <c r="A1170" s="471">
        <v>5621</v>
      </c>
      <c r="B1170" s="472" t="s">
        <v>445</v>
      </c>
      <c r="C1170" s="473">
        <v>47</v>
      </c>
      <c r="D1170" s="471">
        <v>1931</v>
      </c>
      <c r="E1170" s="472">
        <v>40700</v>
      </c>
      <c r="F1170" s="475" t="s">
        <v>468</v>
      </c>
      <c r="G1170" s="476">
        <v>164</v>
      </c>
      <c r="H1170" s="475" t="s">
        <v>979</v>
      </c>
      <c r="I1170" s="498" t="s">
        <v>980</v>
      </c>
      <c r="J1170" s="499">
        <v>12515.24</v>
      </c>
    </row>
    <row r="1171" spans="1:10" ht="20.25" customHeight="1">
      <c r="A1171" s="471">
        <v>5621</v>
      </c>
      <c r="B1171" s="472" t="s">
        <v>445</v>
      </c>
      <c r="C1171" s="473">
        <v>48</v>
      </c>
      <c r="D1171" s="471">
        <v>1931</v>
      </c>
      <c r="E1171" s="472">
        <v>40700</v>
      </c>
      <c r="F1171" s="475" t="s">
        <v>468</v>
      </c>
      <c r="G1171" s="476">
        <v>165</v>
      </c>
      <c r="H1171" s="475" t="s">
        <v>981</v>
      </c>
      <c r="I1171" s="498" t="s">
        <v>982</v>
      </c>
      <c r="J1171" s="499">
        <v>20880</v>
      </c>
    </row>
    <row r="1172" spans="1:10" ht="20.25" customHeight="1">
      <c r="A1172" s="471">
        <v>5621</v>
      </c>
      <c r="B1172" s="472" t="s">
        <v>445</v>
      </c>
      <c r="C1172" s="473">
        <v>49</v>
      </c>
      <c r="D1172" s="471">
        <v>1931</v>
      </c>
      <c r="E1172" s="472">
        <v>40700</v>
      </c>
      <c r="F1172" s="475" t="s">
        <v>468</v>
      </c>
      <c r="G1172" s="476">
        <v>166</v>
      </c>
      <c r="H1172" s="475" t="s">
        <v>983</v>
      </c>
      <c r="I1172" s="498" t="s">
        <v>984</v>
      </c>
      <c r="J1172" s="499">
        <v>25520</v>
      </c>
    </row>
    <row r="1173" spans="1:10" ht="20.25" customHeight="1">
      <c r="A1173" s="471">
        <v>5621</v>
      </c>
      <c r="B1173" s="472" t="s">
        <v>445</v>
      </c>
      <c r="C1173" s="473">
        <v>50</v>
      </c>
      <c r="D1173" s="471">
        <v>1931</v>
      </c>
      <c r="E1173" s="472">
        <v>40700</v>
      </c>
      <c r="F1173" s="475" t="s">
        <v>468</v>
      </c>
      <c r="G1173" s="476">
        <v>167</v>
      </c>
      <c r="H1173" s="475" t="s">
        <v>985</v>
      </c>
      <c r="I1173" s="498" t="s">
        <v>986</v>
      </c>
      <c r="J1173" s="499">
        <v>113680</v>
      </c>
    </row>
    <row r="1174" spans="1:10" ht="20.25" customHeight="1">
      <c r="A1174" s="471">
        <v>5621</v>
      </c>
      <c r="B1174" s="472" t="s">
        <v>445</v>
      </c>
      <c r="C1174" s="473">
        <v>51</v>
      </c>
      <c r="D1174" s="471">
        <v>67273</v>
      </c>
      <c r="E1174" s="472">
        <v>40749</v>
      </c>
      <c r="F1174" s="475" t="s">
        <v>468</v>
      </c>
      <c r="G1174" s="476">
        <v>168</v>
      </c>
      <c r="H1174" s="475" t="s">
        <v>987</v>
      </c>
      <c r="I1174" s="498" t="s">
        <v>988</v>
      </c>
      <c r="J1174" s="499">
        <f>153331.55*1.16</f>
        <v>177864.59799999997</v>
      </c>
    </row>
    <row r="1175" spans="1:10" ht="20.25" customHeight="1">
      <c r="A1175" s="471">
        <v>5621</v>
      </c>
      <c r="B1175" s="472" t="s">
        <v>445</v>
      </c>
      <c r="C1175" s="473">
        <v>52</v>
      </c>
      <c r="D1175" s="471">
        <v>1982</v>
      </c>
      <c r="E1175" s="472">
        <v>40781</v>
      </c>
      <c r="F1175" s="475" t="s">
        <v>468</v>
      </c>
      <c r="G1175" s="476">
        <v>169</v>
      </c>
      <c r="H1175" s="475" t="s">
        <v>989</v>
      </c>
      <c r="I1175" s="498" t="s">
        <v>990</v>
      </c>
      <c r="J1175" s="499">
        <f>26500*1.16</f>
        <v>30739.999999999996</v>
      </c>
    </row>
    <row r="1176" spans="1:10" ht="20.25" customHeight="1">
      <c r="A1176" s="471">
        <v>5621</v>
      </c>
      <c r="B1176" s="472" t="s">
        <v>445</v>
      </c>
      <c r="C1176" s="473">
        <v>53</v>
      </c>
      <c r="D1176" s="471">
        <v>1982</v>
      </c>
      <c r="E1176" s="472">
        <v>40781</v>
      </c>
      <c r="F1176" s="475" t="s">
        <v>468</v>
      </c>
      <c r="G1176" s="476">
        <v>170</v>
      </c>
      <c r="H1176" s="475" t="s">
        <v>991</v>
      </c>
      <c r="I1176" s="498" t="s">
        <v>992</v>
      </c>
      <c r="J1176" s="499">
        <f>10000*1.16</f>
        <v>11600</v>
      </c>
    </row>
    <row r="1177" spans="1:10" ht="20.25" customHeight="1">
      <c r="A1177" s="471">
        <v>5621</v>
      </c>
      <c r="B1177" s="472" t="s">
        <v>445</v>
      </c>
      <c r="C1177" s="473">
        <v>54</v>
      </c>
      <c r="D1177" s="471">
        <v>26189</v>
      </c>
      <c r="E1177" s="474">
        <v>41192</v>
      </c>
      <c r="F1177" s="475" t="s">
        <v>734</v>
      </c>
      <c r="G1177" s="476">
        <v>174</v>
      </c>
      <c r="H1177" s="475" t="s">
        <v>993</v>
      </c>
      <c r="I1177" s="478" t="s">
        <v>994</v>
      </c>
      <c r="J1177" s="496">
        <v>2560</v>
      </c>
    </row>
    <row r="1178" spans="1:10" ht="20.25" customHeight="1">
      <c r="A1178" s="471">
        <v>5621</v>
      </c>
      <c r="B1178" s="472" t="s">
        <v>445</v>
      </c>
      <c r="C1178" s="473">
        <v>55</v>
      </c>
      <c r="D1178" s="471" t="s">
        <v>995</v>
      </c>
      <c r="E1178" s="474">
        <v>41765</v>
      </c>
      <c r="F1178" s="475" t="s">
        <v>873</v>
      </c>
      <c r="G1178" s="476">
        <v>174</v>
      </c>
      <c r="H1178" s="475" t="s">
        <v>993</v>
      </c>
      <c r="I1178" s="478" t="s">
        <v>996</v>
      </c>
      <c r="J1178" s="496">
        <v>15030</v>
      </c>
    </row>
    <row r="1179" spans="1:10" ht="20.25" customHeight="1">
      <c r="A1179" s="471">
        <v>5641</v>
      </c>
      <c r="B1179" s="472" t="s">
        <v>445</v>
      </c>
      <c r="C1179" s="473">
        <v>1</v>
      </c>
      <c r="D1179" s="471">
        <v>4062</v>
      </c>
      <c r="E1179" s="474">
        <v>39811</v>
      </c>
      <c r="F1179" s="475" t="s">
        <v>468</v>
      </c>
      <c r="G1179" s="476">
        <v>94</v>
      </c>
      <c r="H1179" s="475" t="s">
        <v>997</v>
      </c>
      <c r="I1179" s="478" t="s">
        <v>998</v>
      </c>
      <c r="J1179" s="496">
        <v>5498.61</v>
      </c>
    </row>
    <row r="1180" spans="1:10" ht="20.25" customHeight="1">
      <c r="A1180" s="471">
        <v>5641</v>
      </c>
      <c r="B1180" s="472" t="s">
        <v>445</v>
      </c>
      <c r="C1180" s="473">
        <v>2</v>
      </c>
      <c r="D1180" s="471">
        <v>4062</v>
      </c>
      <c r="E1180" s="474">
        <v>39811</v>
      </c>
      <c r="F1180" s="475" t="s">
        <v>468</v>
      </c>
      <c r="G1180" s="476">
        <v>94</v>
      </c>
      <c r="H1180" s="475" t="s">
        <v>997</v>
      </c>
      <c r="I1180" s="478" t="s">
        <v>998</v>
      </c>
      <c r="J1180" s="496">
        <v>5498.61</v>
      </c>
    </row>
    <row r="1181" spans="1:10" ht="20.25" customHeight="1">
      <c r="A1181" s="471">
        <v>5641</v>
      </c>
      <c r="B1181" s="472" t="s">
        <v>445</v>
      </c>
      <c r="C1181" s="473">
        <v>3</v>
      </c>
      <c r="D1181" s="471">
        <v>4062</v>
      </c>
      <c r="E1181" s="474">
        <v>39811</v>
      </c>
      <c r="F1181" s="475" t="s">
        <v>468</v>
      </c>
      <c r="G1181" s="476">
        <v>94</v>
      </c>
      <c r="H1181" s="475" t="s">
        <v>997</v>
      </c>
      <c r="I1181" s="478" t="s">
        <v>998</v>
      </c>
      <c r="J1181" s="496">
        <v>5498.61</v>
      </c>
    </row>
    <row r="1182" spans="1:10" ht="20.25" customHeight="1">
      <c r="A1182" s="471">
        <v>5641</v>
      </c>
      <c r="B1182" s="472" t="s">
        <v>445</v>
      </c>
      <c r="C1182" s="473">
        <v>4</v>
      </c>
      <c r="D1182" s="471">
        <v>21571</v>
      </c>
      <c r="E1182" s="472">
        <v>40885</v>
      </c>
      <c r="F1182" s="475" t="s">
        <v>734</v>
      </c>
      <c r="G1182" s="476">
        <v>171</v>
      </c>
      <c r="H1182" s="475" t="s">
        <v>999</v>
      </c>
      <c r="I1182" s="498" t="s">
        <v>1000</v>
      </c>
      <c r="J1182" s="496">
        <f>20258.62*1.16</f>
        <v>23499.999199999998</v>
      </c>
    </row>
    <row r="1183" spans="1:10" ht="20.25" customHeight="1">
      <c r="A1183" s="471">
        <v>5641</v>
      </c>
      <c r="B1183" s="477" t="s">
        <v>445</v>
      </c>
      <c r="C1183" s="473">
        <v>5</v>
      </c>
      <c r="D1183" s="478" t="s">
        <v>1001</v>
      </c>
      <c r="E1183" s="475">
        <v>41192</v>
      </c>
      <c r="F1183" s="475" t="s">
        <v>468</v>
      </c>
      <c r="G1183" s="476">
        <v>51</v>
      </c>
      <c r="H1183" s="475" t="s">
        <v>592</v>
      </c>
      <c r="I1183" s="478" t="s">
        <v>1002</v>
      </c>
      <c r="J1183" s="502">
        <f>34568/2</f>
        <v>17284</v>
      </c>
    </row>
    <row r="1184" spans="1:10" ht="20.25" customHeight="1">
      <c r="A1184" s="471">
        <v>5641</v>
      </c>
      <c r="B1184" s="477" t="s">
        <v>445</v>
      </c>
      <c r="C1184" s="473">
        <v>6</v>
      </c>
      <c r="D1184" s="478" t="s">
        <v>1001</v>
      </c>
      <c r="E1184" s="475">
        <v>41192</v>
      </c>
      <c r="F1184" s="475" t="s">
        <v>468</v>
      </c>
      <c r="G1184" s="476">
        <v>51</v>
      </c>
      <c r="H1184" s="475" t="s">
        <v>592</v>
      </c>
      <c r="I1184" s="478" t="s">
        <v>1002</v>
      </c>
      <c r="J1184" s="502">
        <f>34568/2</f>
        <v>17284</v>
      </c>
    </row>
    <row r="1185" spans="1:10" ht="20.25" customHeight="1">
      <c r="A1185" s="471">
        <v>5641</v>
      </c>
      <c r="B1185" s="477" t="s">
        <v>445</v>
      </c>
      <c r="C1185" s="473">
        <v>7</v>
      </c>
      <c r="D1185" s="478" t="s">
        <v>1003</v>
      </c>
      <c r="E1185" s="475">
        <v>41758</v>
      </c>
      <c r="F1185" s="475" t="s">
        <v>468</v>
      </c>
      <c r="G1185" s="476">
        <v>197</v>
      </c>
      <c r="H1185" s="475" t="s">
        <v>1004</v>
      </c>
      <c r="I1185" s="478" t="s">
        <v>1005</v>
      </c>
      <c r="J1185" s="502">
        <v>455</v>
      </c>
    </row>
    <row r="1186" spans="1:10" ht="20.25" customHeight="1">
      <c r="A1186" s="471">
        <v>5641</v>
      </c>
      <c r="B1186" s="477" t="s">
        <v>445</v>
      </c>
      <c r="C1186" s="473">
        <v>8</v>
      </c>
      <c r="D1186" s="478" t="s">
        <v>1003</v>
      </c>
      <c r="E1186" s="475">
        <v>41758</v>
      </c>
      <c r="F1186" s="475" t="s">
        <v>468</v>
      </c>
      <c r="G1186" s="476">
        <v>197</v>
      </c>
      <c r="H1186" s="475" t="s">
        <v>1004</v>
      </c>
      <c r="I1186" s="478" t="s">
        <v>1005</v>
      </c>
      <c r="J1186" s="502">
        <v>455</v>
      </c>
    </row>
    <row r="1187" spans="1:10" ht="20.25" customHeight="1">
      <c r="A1187" s="471">
        <v>5641</v>
      </c>
      <c r="B1187" s="477" t="s">
        <v>445</v>
      </c>
      <c r="C1187" s="473">
        <v>9</v>
      </c>
      <c r="D1187" s="478" t="s">
        <v>1003</v>
      </c>
      <c r="E1187" s="475">
        <v>41758</v>
      </c>
      <c r="F1187" s="475" t="s">
        <v>468</v>
      </c>
      <c r="G1187" s="476">
        <v>197</v>
      </c>
      <c r="H1187" s="475" t="s">
        <v>1004</v>
      </c>
      <c r="I1187" s="478" t="s">
        <v>1005</v>
      </c>
      <c r="J1187" s="502">
        <v>455</v>
      </c>
    </row>
    <row r="1188" spans="1:10" ht="20.25" customHeight="1">
      <c r="A1188" s="471">
        <v>5651</v>
      </c>
      <c r="B1188" s="472" t="s">
        <v>445</v>
      </c>
      <c r="C1188" s="473">
        <v>1</v>
      </c>
      <c r="D1188" s="471" t="s">
        <v>1006</v>
      </c>
      <c r="E1188" s="474">
        <v>38581</v>
      </c>
      <c r="F1188" s="475" t="s">
        <v>468</v>
      </c>
      <c r="G1188" s="476">
        <v>91</v>
      </c>
      <c r="H1188" s="475" t="s">
        <v>1007</v>
      </c>
      <c r="I1188" s="478" t="s">
        <v>1008</v>
      </c>
      <c r="J1188" s="496">
        <v>1499</v>
      </c>
    </row>
    <row r="1189" spans="1:10" ht="20.25" customHeight="1">
      <c r="A1189" s="471">
        <v>5651</v>
      </c>
      <c r="B1189" s="472" t="s">
        <v>445</v>
      </c>
      <c r="C1189" s="473">
        <v>4</v>
      </c>
      <c r="D1189" s="471" t="s">
        <v>1009</v>
      </c>
      <c r="E1189" s="474">
        <v>39204</v>
      </c>
      <c r="F1189" s="475" t="s">
        <v>446</v>
      </c>
      <c r="G1189" s="476">
        <v>176</v>
      </c>
      <c r="H1189" s="475" t="s">
        <v>1010</v>
      </c>
      <c r="I1189" s="478" t="s">
        <v>1011</v>
      </c>
      <c r="J1189" s="496">
        <v>2080</v>
      </c>
    </row>
    <row r="1190" spans="1:10" ht="20.25" customHeight="1">
      <c r="A1190" s="471">
        <v>5651</v>
      </c>
      <c r="B1190" s="472" t="s">
        <v>445</v>
      </c>
      <c r="C1190" s="473">
        <v>5</v>
      </c>
      <c r="D1190" s="471">
        <v>17267</v>
      </c>
      <c r="E1190" s="472">
        <v>40647</v>
      </c>
      <c r="F1190" s="475" t="s">
        <v>446</v>
      </c>
      <c r="G1190" s="476">
        <v>177</v>
      </c>
      <c r="H1190" s="475" t="s">
        <v>1012</v>
      </c>
      <c r="I1190" s="498" t="s">
        <v>1013</v>
      </c>
      <c r="J1190" s="499">
        <v>2000</v>
      </c>
    </row>
    <row r="1191" spans="1:10" ht="20.25" customHeight="1">
      <c r="A1191" s="471">
        <v>5651</v>
      </c>
      <c r="B1191" s="472" t="s">
        <v>445</v>
      </c>
      <c r="C1191" s="473">
        <v>6</v>
      </c>
      <c r="D1191" s="471">
        <v>17267</v>
      </c>
      <c r="E1191" s="472">
        <v>40647</v>
      </c>
      <c r="F1191" s="475" t="s">
        <v>446</v>
      </c>
      <c r="G1191" s="476">
        <v>177</v>
      </c>
      <c r="H1191" s="475" t="s">
        <v>1012</v>
      </c>
      <c r="I1191" s="498" t="s">
        <v>1013</v>
      </c>
      <c r="J1191" s="499">
        <v>2000</v>
      </c>
    </row>
    <row r="1192" spans="1:10" ht="20.25" customHeight="1">
      <c r="A1192" s="471">
        <v>5651</v>
      </c>
      <c r="B1192" s="472" t="s">
        <v>445</v>
      </c>
      <c r="C1192" s="473">
        <v>7</v>
      </c>
      <c r="D1192" s="471">
        <v>17267</v>
      </c>
      <c r="E1192" s="472">
        <v>40647</v>
      </c>
      <c r="F1192" s="475" t="s">
        <v>446</v>
      </c>
      <c r="G1192" s="476">
        <v>177</v>
      </c>
      <c r="H1192" s="475" t="s">
        <v>1012</v>
      </c>
      <c r="I1192" s="498" t="s">
        <v>1013</v>
      </c>
      <c r="J1192" s="499">
        <v>2000</v>
      </c>
    </row>
    <row r="1193" spans="1:10" ht="20.25" customHeight="1">
      <c r="A1193" s="471">
        <v>5651</v>
      </c>
      <c r="B1193" s="472" t="s">
        <v>445</v>
      </c>
      <c r="C1193" s="473">
        <v>8</v>
      </c>
      <c r="D1193" s="471">
        <v>17267</v>
      </c>
      <c r="E1193" s="472">
        <v>40647</v>
      </c>
      <c r="F1193" s="475" t="s">
        <v>446</v>
      </c>
      <c r="G1193" s="476">
        <v>177</v>
      </c>
      <c r="H1193" s="475" t="s">
        <v>1012</v>
      </c>
      <c r="I1193" s="498" t="s">
        <v>1013</v>
      </c>
      <c r="J1193" s="499">
        <v>2000</v>
      </c>
    </row>
    <row r="1194" spans="1:10" ht="20.25" customHeight="1">
      <c r="A1194" s="471">
        <v>5651</v>
      </c>
      <c r="B1194" s="472" t="s">
        <v>445</v>
      </c>
      <c r="C1194" s="473">
        <v>9</v>
      </c>
      <c r="D1194" s="471">
        <v>17267</v>
      </c>
      <c r="E1194" s="472">
        <v>40647</v>
      </c>
      <c r="F1194" s="475" t="s">
        <v>446</v>
      </c>
      <c r="G1194" s="476">
        <v>177</v>
      </c>
      <c r="H1194" s="475" t="s">
        <v>1012</v>
      </c>
      <c r="I1194" s="498" t="s">
        <v>1013</v>
      </c>
      <c r="J1194" s="499">
        <v>2000</v>
      </c>
    </row>
    <row r="1195" spans="1:10" ht="20.25" customHeight="1">
      <c r="A1195" s="471">
        <v>5651</v>
      </c>
      <c r="B1195" s="472" t="s">
        <v>445</v>
      </c>
      <c r="C1195" s="473">
        <v>10</v>
      </c>
      <c r="D1195" s="471">
        <v>17267</v>
      </c>
      <c r="E1195" s="472">
        <v>40647</v>
      </c>
      <c r="F1195" s="475" t="s">
        <v>446</v>
      </c>
      <c r="G1195" s="476">
        <v>177</v>
      </c>
      <c r="H1195" s="475" t="s">
        <v>1012</v>
      </c>
      <c r="I1195" s="498" t="s">
        <v>1013</v>
      </c>
      <c r="J1195" s="499">
        <v>2000</v>
      </c>
    </row>
    <row r="1196" spans="1:10" ht="20.25" customHeight="1">
      <c r="A1196" s="471">
        <v>5651</v>
      </c>
      <c r="B1196" s="472" t="s">
        <v>445</v>
      </c>
      <c r="C1196" s="473">
        <v>11</v>
      </c>
      <c r="D1196" s="471">
        <v>17267</v>
      </c>
      <c r="E1196" s="472">
        <v>40647</v>
      </c>
      <c r="F1196" s="475" t="s">
        <v>446</v>
      </c>
      <c r="G1196" s="476">
        <v>177</v>
      </c>
      <c r="H1196" s="475" t="s">
        <v>1012</v>
      </c>
      <c r="I1196" s="498" t="s">
        <v>1013</v>
      </c>
      <c r="J1196" s="499">
        <v>2000</v>
      </c>
    </row>
    <row r="1197" spans="1:10" ht="20.25" customHeight="1">
      <c r="A1197" s="471">
        <v>5651</v>
      </c>
      <c r="B1197" s="472" t="s">
        <v>445</v>
      </c>
      <c r="C1197" s="473">
        <v>12</v>
      </c>
      <c r="D1197" s="471">
        <v>17267</v>
      </c>
      <c r="E1197" s="472">
        <v>40647</v>
      </c>
      <c r="F1197" s="475" t="s">
        <v>446</v>
      </c>
      <c r="G1197" s="476">
        <v>177</v>
      </c>
      <c r="H1197" s="475" t="s">
        <v>1012</v>
      </c>
      <c r="I1197" s="498" t="s">
        <v>1013</v>
      </c>
      <c r="J1197" s="499">
        <v>2000</v>
      </c>
    </row>
    <row r="1198" spans="1:10" ht="20.25" customHeight="1">
      <c r="A1198" s="471">
        <v>5651</v>
      </c>
      <c r="B1198" s="472" t="s">
        <v>445</v>
      </c>
      <c r="C1198" s="473">
        <v>13</v>
      </c>
      <c r="D1198" s="471">
        <v>17267</v>
      </c>
      <c r="E1198" s="472">
        <v>40647</v>
      </c>
      <c r="F1198" s="475" t="s">
        <v>446</v>
      </c>
      <c r="G1198" s="476">
        <v>177</v>
      </c>
      <c r="H1198" s="475" t="s">
        <v>1012</v>
      </c>
      <c r="I1198" s="498" t="s">
        <v>1013</v>
      </c>
      <c r="J1198" s="499">
        <v>2000</v>
      </c>
    </row>
    <row r="1199" spans="1:10" ht="20.25" customHeight="1">
      <c r="A1199" s="471">
        <v>5651</v>
      </c>
      <c r="B1199" s="472" t="s">
        <v>445</v>
      </c>
      <c r="C1199" s="473">
        <v>14</v>
      </c>
      <c r="D1199" s="471">
        <v>17267</v>
      </c>
      <c r="E1199" s="472">
        <v>40647</v>
      </c>
      <c r="F1199" s="475" t="s">
        <v>446</v>
      </c>
      <c r="G1199" s="476">
        <v>177</v>
      </c>
      <c r="H1199" s="475" t="s">
        <v>1012</v>
      </c>
      <c r="I1199" s="498" t="s">
        <v>1013</v>
      </c>
      <c r="J1199" s="499">
        <v>2000</v>
      </c>
    </row>
    <row r="1200" spans="1:10" ht="20.25" customHeight="1">
      <c r="A1200" s="471">
        <v>5661</v>
      </c>
      <c r="B1200" s="477" t="s">
        <v>445</v>
      </c>
      <c r="C1200" s="473">
        <v>4</v>
      </c>
      <c r="D1200" s="478">
        <v>24163</v>
      </c>
      <c r="E1200" s="475">
        <v>39812</v>
      </c>
      <c r="F1200" s="475" t="s">
        <v>468</v>
      </c>
      <c r="G1200" s="476">
        <v>116</v>
      </c>
      <c r="H1200" s="475" t="s">
        <v>801</v>
      </c>
      <c r="I1200" s="478" t="s">
        <v>1014</v>
      </c>
      <c r="J1200" s="502">
        <v>5971.51</v>
      </c>
    </row>
    <row r="1201" spans="1:10" ht="20.25" customHeight="1">
      <c r="A1201" s="471">
        <v>5661</v>
      </c>
      <c r="B1201" s="477" t="s">
        <v>445</v>
      </c>
      <c r="C1201" s="473">
        <v>5</v>
      </c>
      <c r="D1201" s="478">
        <v>24163</v>
      </c>
      <c r="E1201" s="475">
        <v>39812</v>
      </c>
      <c r="F1201" s="475" t="s">
        <v>468</v>
      </c>
      <c r="G1201" s="476">
        <v>116</v>
      </c>
      <c r="H1201" s="475" t="s">
        <v>801</v>
      </c>
      <c r="I1201" s="478" t="s">
        <v>1014</v>
      </c>
      <c r="J1201" s="502">
        <v>5971.51</v>
      </c>
    </row>
    <row r="1202" spans="1:10" ht="20.25" customHeight="1">
      <c r="A1202" s="471">
        <v>5661</v>
      </c>
      <c r="B1202" s="472" t="s">
        <v>445</v>
      </c>
      <c r="C1202" s="473">
        <v>6</v>
      </c>
      <c r="D1202" s="471">
        <v>37931</v>
      </c>
      <c r="E1202" s="474">
        <v>39874</v>
      </c>
      <c r="F1202" s="475" t="s">
        <v>468</v>
      </c>
      <c r="G1202" s="476">
        <v>179</v>
      </c>
      <c r="H1202" s="475" t="s">
        <v>1015</v>
      </c>
      <c r="I1202" s="478" t="s">
        <v>1016</v>
      </c>
      <c r="J1202" s="496">
        <f>(63675*1.15)/5</f>
        <v>14645.25</v>
      </c>
    </row>
    <row r="1203" spans="1:10" ht="20.25" customHeight="1">
      <c r="A1203" s="471">
        <v>5661</v>
      </c>
      <c r="B1203" s="472" t="s">
        <v>445</v>
      </c>
      <c r="C1203" s="473">
        <v>7</v>
      </c>
      <c r="D1203" s="471">
        <v>37931</v>
      </c>
      <c r="E1203" s="474">
        <v>39874</v>
      </c>
      <c r="F1203" s="475" t="s">
        <v>468</v>
      </c>
      <c r="G1203" s="476">
        <v>179</v>
      </c>
      <c r="H1203" s="475" t="s">
        <v>1015</v>
      </c>
      <c r="I1203" s="478" t="s">
        <v>1016</v>
      </c>
      <c r="J1203" s="496">
        <f>(63675*1.15)/5</f>
        <v>14645.25</v>
      </c>
    </row>
    <row r="1204" spans="1:10" ht="20.25" customHeight="1">
      <c r="A1204" s="471">
        <v>5661</v>
      </c>
      <c r="B1204" s="472" t="s">
        <v>445</v>
      </c>
      <c r="C1204" s="473">
        <v>8</v>
      </c>
      <c r="D1204" s="471">
        <v>37931</v>
      </c>
      <c r="E1204" s="474">
        <v>39874</v>
      </c>
      <c r="F1204" s="475" t="s">
        <v>468</v>
      </c>
      <c r="G1204" s="476">
        <v>179</v>
      </c>
      <c r="H1204" s="475" t="s">
        <v>1015</v>
      </c>
      <c r="I1204" s="478" t="s">
        <v>1016</v>
      </c>
      <c r="J1204" s="496">
        <f>(63675*1.15)/5</f>
        <v>14645.25</v>
      </c>
    </row>
    <row r="1205" spans="1:10" ht="20.25" customHeight="1">
      <c r="A1205" s="471">
        <v>5661</v>
      </c>
      <c r="B1205" s="472" t="s">
        <v>445</v>
      </c>
      <c r="C1205" s="473">
        <v>9</v>
      </c>
      <c r="D1205" s="471">
        <v>37931</v>
      </c>
      <c r="E1205" s="474">
        <v>39874</v>
      </c>
      <c r="F1205" s="475" t="s">
        <v>468</v>
      </c>
      <c r="G1205" s="476">
        <v>179</v>
      </c>
      <c r="H1205" s="475" t="s">
        <v>1015</v>
      </c>
      <c r="I1205" s="478" t="s">
        <v>1016</v>
      </c>
      <c r="J1205" s="496">
        <f>(63675*1.15)/5</f>
        <v>14645.25</v>
      </c>
    </row>
    <row r="1206" spans="1:10" ht="20.25" customHeight="1">
      <c r="A1206" s="471">
        <v>5661</v>
      </c>
      <c r="B1206" s="472" t="s">
        <v>445</v>
      </c>
      <c r="C1206" s="473">
        <v>10</v>
      </c>
      <c r="D1206" s="471">
        <v>37931</v>
      </c>
      <c r="E1206" s="474">
        <v>39874</v>
      </c>
      <c r="F1206" s="475" t="s">
        <v>468</v>
      </c>
      <c r="G1206" s="476">
        <v>179</v>
      </c>
      <c r="H1206" s="475" t="s">
        <v>1015</v>
      </c>
      <c r="I1206" s="478" t="s">
        <v>1016</v>
      </c>
      <c r="J1206" s="496">
        <f>(63675*1.15)/5</f>
        <v>14645.25</v>
      </c>
    </row>
    <row r="1207" spans="1:10" ht="20.25" customHeight="1">
      <c r="A1207" s="471">
        <v>5661</v>
      </c>
      <c r="B1207" s="472" t="s">
        <v>445</v>
      </c>
      <c r="C1207" s="473">
        <v>11</v>
      </c>
      <c r="D1207" s="471">
        <v>37931</v>
      </c>
      <c r="E1207" s="474">
        <v>39874</v>
      </c>
      <c r="F1207" s="475" t="s">
        <v>468</v>
      </c>
      <c r="G1207" s="476">
        <v>180</v>
      </c>
      <c r="H1207" s="475" t="s">
        <v>1017</v>
      </c>
      <c r="I1207" s="478" t="s">
        <v>1018</v>
      </c>
      <c r="J1207" s="496">
        <f t="shared" ref="J1207:J1216" si="30">(42750*1.15)/10</f>
        <v>4916.2499999999991</v>
      </c>
    </row>
    <row r="1208" spans="1:10" ht="20.25" customHeight="1">
      <c r="A1208" s="471">
        <v>5661</v>
      </c>
      <c r="B1208" s="472" t="s">
        <v>445</v>
      </c>
      <c r="C1208" s="473">
        <v>12</v>
      </c>
      <c r="D1208" s="471">
        <v>37931</v>
      </c>
      <c r="E1208" s="474">
        <v>39874</v>
      </c>
      <c r="F1208" s="475" t="s">
        <v>468</v>
      </c>
      <c r="G1208" s="476">
        <v>180</v>
      </c>
      <c r="H1208" s="475" t="s">
        <v>1017</v>
      </c>
      <c r="I1208" s="478" t="s">
        <v>1018</v>
      </c>
      <c r="J1208" s="496">
        <f t="shared" si="30"/>
        <v>4916.2499999999991</v>
      </c>
    </row>
    <row r="1209" spans="1:10" ht="20.25" customHeight="1">
      <c r="A1209" s="471">
        <v>5661</v>
      </c>
      <c r="B1209" s="472" t="s">
        <v>445</v>
      </c>
      <c r="C1209" s="473">
        <v>13</v>
      </c>
      <c r="D1209" s="471">
        <v>37931</v>
      </c>
      <c r="E1209" s="474">
        <v>39874</v>
      </c>
      <c r="F1209" s="475" t="s">
        <v>468</v>
      </c>
      <c r="G1209" s="476">
        <v>180</v>
      </c>
      <c r="H1209" s="475" t="s">
        <v>1017</v>
      </c>
      <c r="I1209" s="478" t="s">
        <v>1018</v>
      </c>
      <c r="J1209" s="496">
        <f t="shared" si="30"/>
        <v>4916.2499999999991</v>
      </c>
    </row>
    <row r="1210" spans="1:10" ht="20.25" customHeight="1">
      <c r="A1210" s="471">
        <v>5661</v>
      </c>
      <c r="B1210" s="472" t="s">
        <v>445</v>
      </c>
      <c r="C1210" s="473">
        <v>14</v>
      </c>
      <c r="D1210" s="471">
        <v>37931</v>
      </c>
      <c r="E1210" s="474">
        <v>39874</v>
      </c>
      <c r="F1210" s="475" t="s">
        <v>468</v>
      </c>
      <c r="G1210" s="476">
        <v>180</v>
      </c>
      <c r="H1210" s="475" t="s">
        <v>1017</v>
      </c>
      <c r="I1210" s="478" t="s">
        <v>1018</v>
      </c>
      <c r="J1210" s="496">
        <f t="shared" si="30"/>
        <v>4916.2499999999991</v>
      </c>
    </row>
    <row r="1211" spans="1:10" ht="20.25" customHeight="1">
      <c r="A1211" s="471">
        <v>5661</v>
      </c>
      <c r="B1211" s="472" t="s">
        <v>445</v>
      </c>
      <c r="C1211" s="473">
        <v>15</v>
      </c>
      <c r="D1211" s="471">
        <v>37931</v>
      </c>
      <c r="E1211" s="474">
        <v>39874</v>
      </c>
      <c r="F1211" s="475" t="s">
        <v>468</v>
      </c>
      <c r="G1211" s="476">
        <v>180</v>
      </c>
      <c r="H1211" s="475" t="s">
        <v>1017</v>
      </c>
      <c r="I1211" s="478" t="s">
        <v>1018</v>
      </c>
      <c r="J1211" s="496">
        <f t="shared" si="30"/>
        <v>4916.2499999999991</v>
      </c>
    </row>
    <row r="1212" spans="1:10" ht="20.25" customHeight="1">
      <c r="A1212" s="471">
        <v>5661</v>
      </c>
      <c r="B1212" s="472" t="s">
        <v>445</v>
      </c>
      <c r="C1212" s="473">
        <v>16</v>
      </c>
      <c r="D1212" s="471">
        <v>37931</v>
      </c>
      <c r="E1212" s="474">
        <v>39874</v>
      </c>
      <c r="F1212" s="475" t="s">
        <v>468</v>
      </c>
      <c r="G1212" s="476">
        <v>180</v>
      </c>
      <c r="H1212" s="475" t="s">
        <v>1017</v>
      </c>
      <c r="I1212" s="478" t="s">
        <v>1018</v>
      </c>
      <c r="J1212" s="496">
        <f t="shared" si="30"/>
        <v>4916.2499999999991</v>
      </c>
    </row>
    <row r="1213" spans="1:10" ht="20.25" customHeight="1">
      <c r="A1213" s="471">
        <v>5661</v>
      </c>
      <c r="B1213" s="472" t="s">
        <v>445</v>
      </c>
      <c r="C1213" s="473">
        <v>17</v>
      </c>
      <c r="D1213" s="471">
        <v>37931</v>
      </c>
      <c r="E1213" s="474">
        <v>39874</v>
      </c>
      <c r="F1213" s="475" t="s">
        <v>468</v>
      </c>
      <c r="G1213" s="476">
        <v>180</v>
      </c>
      <c r="H1213" s="475" t="s">
        <v>1017</v>
      </c>
      <c r="I1213" s="478" t="s">
        <v>1018</v>
      </c>
      <c r="J1213" s="496">
        <f t="shared" si="30"/>
        <v>4916.2499999999991</v>
      </c>
    </row>
    <row r="1214" spans="1:10" ht="20.25" customHeight="1">
      <c r="A1214" s="471">
        <v>5661</v>
      </c>
      <c r="B1214" s="472" t="s">
        <v>445</v>
      </c>
      <c r="C1214" s="473">
        <v>18</v>
      </c>
      <c r="D1214" s="471">
        <v>37931</v>
      </c>
      <c r="E1214" s="474">
        <v>39874</v>
      </c>
      <c r="F1214" s="475" t="s">
        <v>468</v>
      </c>
      <c r="G1214" s="476">
        <v>180</v>
      </c>
      <c r="H1214" s="475" t="s">
        <v>1017</v>
      </c>
      <c r="I1214" s="478" t="s">
        <v>1018</v>
      </c>
      <c r="J1214" s="496">
        <f t="shared" si="30"/>
        <v>4916.2499999999991</v>
      </c>
    </row>
    <row r="1215" spans="1:10" ht="20.25" customHeight="1">
      <c r="A1215" s="471">
        <v>5661</v>
      </c>
      <c r="B1215" s="472" t="s">
        <v>445</v>
      </c>
      <c r="C1215" s="473">
        <v>19</v>
      </c>
      <c r="D1215" s="471">
        <v>37931</v>
      </c>
      <c r="E1215" s="474">
        <v>39874</v>
      </c>
      <c r="F1215" s="475" t="s">
        <v>468</v>
      </c>
      <c r="G1215" s="476">
        <v>180</v>
      </c>
      <c r="H1215" s="475" t="s">
        <v>1017</v>
      </c>
      <c r="I1215" s="478" t="s">
        <v>1018</v>
      </c>
      <c r="J1215" s="496">
        <f t="shared" si="30"/>
        <v>4916.2499999999991</v>
      </c>
    </row>
    <row r="1216" spans="1:10" ht="20.25" customHeight="1">
      <c r="A1216" s="471">
        <v>5661</v>
      </c>
      <c r="B1216" s="472" t="s">
        <v>445</v>
      </c>
      <c r="C1216" s="473">
        <v>20</v>
      </c>
      <c r="D1216" s="471">
        <v>37931</v>
      </c>
      <c r="E1216" s="474">
        <v>39874</v>
      </c>
      <c r="F1216" s="475" t="s">
        <v>468</v>
      </c>
      <c r="G1216" s="476">
        <v>180</v>
      </c>
      <c r="H1216" s="475" t="s">
        <v>1017</v>
      </c>
      <c r="I1216" s="478" t="s">
        <v>1018</v>
      </c>
      <c r="J1216" s="496">
        <f t="shared" si="30"/>
        <v>4916.2499999999991</v>
      </c>
    </row>
    <row r="1217" spans="1:10" ht="20.25" customHeight="1">
      <c r="A1217" s="471">
        <v>5661</v>
      </c>
      <c r="B1217" s="472" t="s">
        <v>445</v>
      </c>
      <c r="C1217" s="473">
        <v>21</v>
      </c>
      <c r="D1217" s="471">
        <v>37931</v>
      </c>
      <c r="E1217" s="474">
        <v>39874</v>
      </c>
      <c r="F1217" s="475" t="s">
        <v>468</v>
      </c>
      <c r="G1217" s="476">
        <v>181</v>
      </c>
      <c r="H1217" s="475" t="s">
        <v>1019</v>
      </c>
      <c r="I1217" s="478" t="s">
        <v>1020</v>
      </c>
      <c r="J1217" s="496">
        <f>(23325*1.15)/5</f>
        <v>5364.7499999999991</v>
      </c>
    </row>
    <row r="1218" spans="1:10" ht="20.25" customHeight="1">
      <c r="A1218" s="471">
        <v>5661</v>
      </c>
      <c r="B1218" s="472" t="s">
        <v>445</v>
      </c>
      <c r="C1218" s="473">
        <v>22</v>
      </c>
      <c r="D1218" s="471">
        <v>37931</v>
      </c>
      <c r="E1218" s="474">
        <v>39874</v>
      </c>
      <c r="F1218" s="475" t="s">
        <v>468</v>
      </c>
      <c r="G1218" s="476">
        <v>181</v>
      </c>
      <c r="H1218" s="475" t="s">
        <v>1019</v>
      </c>
      <c r="I1218" s="478" t="s">
        <v>1020</v>
      </c>
      <c r="J1218" s="496">
        <f>(23325*1.15)/5</f>
        <v>5364.7499999999991</v>
      </c>
    </row>
    <row r="1219" spans="1:10" ht="20.25" customHeight="1">
      <c r="A1219" s="471">
        <v>5661</v>
      </c>
      <c r="B1219" s="472" t="s">
        <v>445</v>
      </c>
      <c r="C1219" s="473">
        <v>23</v>
      </c>
      <c r="D1219" s="471">
        <v>37931</v>
      </c>
      <c r="E1219" s="474">
        <v>39874</v>
      </c>
      <c r="F1219" s="475" t="s">
        <v>468</v>
      </c>
      <c r="G1219" s="476">
        <v>181</v>
      </c>
      <c r="H1219" s="475" t="s">
        <v>1019</v>
      </c>
      <c r="I1219" s="478" t="s">
        <v>1020</v>
      </c>
      <c r="J1219" s="496">
        <f>(23325*1.15)/5</f>
        <v>5364.7499999999991</v>
      </c>
    </row>
    <row r="1220" spans="1:10" ht="20.25" customHeight="1">
      <c r="A1220" s="471">
        <v>5661</v>
      </c>
      <c r="B1220" s="472" t="s">
        <v>445</v>
      </c>
      <c r="C1220" s="473">
        <v>24</v>
      </c>
      <c r="D1220" s="471">
        <v>37931</v>
      </c>
      <c r="E1220" s="474">
        <v>39874</v>
      </c>
      <c r="F1220" s="475" t="s">
        <v>468</v>
      </c>
      <c r="G1220" s="476">
        <v>181</v>
      </c>
      <c r="H1220" s="475" t="s">
        <v>1019</v>
      </c>
      <c r="I1220" s="478" t="s">
        <v>1020</v>
      </c>
      <c r="J1220" s="496">
        <f>(23325*1.15)/5</f>
        <v>5364.7499999999991</v>
      </c>
    </row>
    <row r="1221" spans="1:10" ht="20.25" customHeight="1">
      <c r="A1221" s="471">
        <v>5661</v>
      </c>
      <c r="B1221" s="472" t="s">
        <v>445</v>
      </c>
      <c r="C1221" s="473">
        <v>25</v>
      </c>
      <c r="D1221" s="471">
        <v>37931</v>
      </c>
      <c r="E1221" s="474">
        <v>39874</v>
      </c>
      <c r="F1221" s="475" t="s">
        <v>468</v>
      </c>
      <c r="G1221" s="476">
        <v>181</v>
      </c>
      <c r="H1221" s="475" t="s">
        <v>1019</v>
      </c>
      <c r="I1221" s="478" t="s">
        <v>1020</v>
      </c>
      <c r="J1221" s="496">
        <f>(23325*1.15)/5</f>
        <v>5364.7499999999991</v>
      </c>
    </row>
    <row r="1222" spans="1:10" ht="20.25" customHeight="1">
      <c r="A1222" s="471">
        <v>5661</v>
      </c>
      <c r="B1222" s="472" t="s">
        <v>445</v>
      </c>
      <c r="C1222" s="473">
        <v>26</v>
      </c>
      <c r="D1222" s="471">
        <v>1634</v>
      </c>
      <c r="E1222" s="472">
        <v>40462</v>
      </c>
      <c r="F1222" s="475" t="s">
        <v>468</v>
      </c>
      <c r="G1222" s="476">
        <v>182</v>
      </c>
      <c r="H1222" s="475" t="s">
        <v>1021</v>
      </c>
      <c r="I1222" s="498" t="s">
        <v>1022</v>
      </c>
      <c r="J1222" s="499">
        <f>11000*1.16</f>
        <v>12760</v>
      </c>
    </row>
    <row r="1223" spans="1:10" ht="20.25" customHeight="1">
      <c r="A1223" s="471">
        <v>5661</v>
      </c>
      <c r="B1223" s="472" t="s">
        <v>445</v>
      </c>
      <c r="C1223" s="473">
        <v>27</v>
      </c>
      <c r="D1223" s="471">
        <v>1634</v>
      </c>
      <c r="E1223" s="472">
        <v>40462</v>
      </c>
      <c r="F1223" s="475" t="s">
        <v>468</v>
      </c>
      <c r="G1223" s="476">
        <v>183</v>
      </c>
      <c r="H1223" s="475" t="s">
        <v>1023</v>
      </c>
      <c r="I1223" s="498" t="s">
        <v>1024</v>
      </c>
      <c r="J1223" s="499">
        <f>35714.29*1.16</f>
        <v>41428.576399999998</v>
      </c>
    </row>
    <row r="1224" spans="1:10" ht="20.25" customHeight="1">
      <c r="A1224" s="471">
        <v>5661</v>
      </c>
      <c r="B1224" s="472" t="s">
        <v>445</v>
      </c>
      <c r="C1224" s="473">
        <v>28</v>
      </c>
      <c r="D1224" s="471">
        <v>1634</v>
      </c>
      <c r="E1224" s="472">
        <v>40462</v>
      </c>
      <c r="F1224" s="475" t="s">
        <v>468</v>
      </c>
      <c r="G1224" s="476">
        <v>184</v>
      </c>
      <c r="H1224" s="475" t="s">
        <v>1025</v>
      </c>
      <c r="I1224" s="498" t="s">
        <v>1026</v>
      </c>
      <c r="J1224" s="499">
        <f>22857.14*1.16</f>
        <v>26514.282399999996</v>
      </c>
    </row>
    <row r="1225" spans="1:10" ht="20.25" customHeight="1">
      <c r="A1225" s="471">
        <v>5661</v>
      </c>
      <c r="B1225" s="472" t="s">
        <v>445</v>
      </c>
      <c r="C1225" s="473">
        <v>29</v>
      </c>
      <c r="D1225" s="471">
        <v>1822</v>
      </c>
      <c r="E1225" s="472">
        <v>40603</v>
      </c>
      <c r="F1225" s="475" t="s">
        <v>873</v>
      </c>
      <c r="G1225" s="476">
        <v>187</v>
      </c>
      <c r="H1225" s="475" t="s">
        <v>1027</v>
      </c>
      <c r="I1225" s="498" t="s">
        <v>1028</v>
      </c>
      <c r="J1225" s="499">
        <f>180000*1.16</f>
        <v>208800</v>
      </c>
    </row>
    <row r="1226" spans="1:10" ht="20.25" customHeight="1">
      <c r="A1226" s="471">
        <v>5661</v>
      </c>
      <c r="B1226" s="472" t="s">
        <v>445</v>
      </c>
      <c r="C1226" s="473">
        <v>30</v>
      </c>
      <c r="D1226" s="471">
        <v>1982</v>
      </c>
      <c r="E1226" s="472">
        <v>40781</v>
      </c>
      <c r="F1226" s="475" t="s">
        <v>468</v>
      </c>
      <c r="G1226" s="476">
        <v>188</v>
      </c>
      <c r="H1226" s="475" t="s">
        <v>1029</v>
      </c>
      <c r="I1226" s="498" t="s">
        <v>1030</v>
      </c>
      <c r="J1226" s="499">
        <f>12000*1.16</f>
        <v>13919.999999999998</v>
      </c>
    </row>
    <row r="1227" spans="1:10" ht="20.25" customHeight="1">
      <c r="A1227" s="471">
        <v>5661</v>
      </c>
      <c r="B1227" s="472" t="s">
        <v>445</v>
      </c>
      <c r="C1227" s="473">
        <v>31</v>
      </c>
      <c r="D1227" s="471">
        <v>1982</v>
      </c>
      <c r="E1227" s="472">
        <v>40781</v>
      </c>
      <c r="F1227" s="475" t="s">
        <v>468</v>
      </c>
      <c r="G1227" s="476">
        <v>189</v>
      </c>
      <c r="H1227" s="475" t="s">
        <v>1031</v>
      </c>
      <c r="I1227" s="498" t="s">
        <v>1032</v>
      </c>
      <c r="J1227" s="499">
        <f>16500*1.16</f>
        <v>19140</v>
      </c>
    </row>
    <row r="1228" spans="1:10" ht="20.25" customHeight="1">
      <c r="A1228" s="471">
        <v>5661</v>
      </c>
      <c r="B1228" s="472" t="s">
        <v>445</v>
      </c>
      <c r="C1228" s="473">
        <v>32</v>
      </c>
      <c r="D1228" s="471" t="s">
        <v>709</v>
      </c>
      <c r="E1228" s="472">
        <v>41925</v>
      </c>
      <c r="F1228" s="475" t="s">
        <v>468</v>
      </c>
      <c r="G1228" s="476">
        <v>190</v>
      </c>
      <c r="H1228" s="475" t="s">
        <v>690</v>
      </c>
      <c r="I1228" s="498" t="s">
        <v>1033</v>
      </c>
      <c r="J1228" s="499">
        <v>18745</v>
      </c>
    </row>
    <row r="1229" spans="1:10" ht="20.25" customHeight="1">
      <c r="A1229" s="471">
        <v>5661</v>
      </c>
      <c r="B1229" s="472" t="s">
        <v>445</v>
      </c>
      <c r="C1229" s="473">
        <v>33</v>
      </c>
      <c r="D1229" s="471" t="s">
        <v>709</v>
      </c>
      <c r="E1229" s="472">
        <v>41925</v>
      </c>
      <c r="F1229" s="475" t="s">
        <v>468</v>
      </c>
      <c r="G1229" s="476">
        <v>190</v>
      </c>
      <c r="H1229" s="475" t="s">
        <v>690</v>
      </c>
      <c r="I1229" s="498" t="s">
        <v>1033</v>
      </c>
      <c r="J1229" s="499">
        <v>18745</v>
      </c>
    </row>
    <row r="1230" spans="1:10" ht="20.25" customHeight="1">
      <c r="A1230" s="471">
        <v>5661</v>
      </c>
      <c r="B1230" s="472" t="s">
        <v>445</v>
      </c>
      <c r="C1230" s="473">
        <v>34</v>
      </c>
      <c r="D1230" s="471" t="s">
        <v>709</v>
      </c>
      <c r="E1230" s="472">
        <v>41925</v>
      </c>
      <c r="F1230" s="475" t="s">
        <v>468</v>
      </c>
      <c r="G1230" s="476">
        <v>190</v>
      </c>
      <c r="H1230" s="475" t="s">
        <v>690</v>
      </c>
      <c r="I1230" s="498" t="s">
        <v>1033</v>
      </c>
      <c r="J1230" s="499">
        <v>18745</v>
      </c>
    </row>
    <row r="1231" spans="1:10" ht="20.25" customHeight="1">
      <c r="A1231" s="471">
        <v>5661</v>
      </c>
      <c r="B1231" s="472" t="s">
        <v>445</v>
      </c>
      <c r="C1231" s="473">
        <v>35</v>
      </c>
      <c r="D1231" s="471" t="s">
        <v>709</v>
      </c>
      <c r="E1231" s="472">
        <v>41925</v>
      </c>
      <c r="F1231" s="475" t="s">
        <v>468</v>
      </c>
      <c r="G1231" s="476">
        <v>190</v>
      </c>
      <c r="H1231" s="475" t="s">
        <v>690</v>
      </c>
      <c r="I1231" s="498" t="s">
        <v>1033</v>
      </c>
      <c r="J1231" s="499">
        <v>18745</v>
      </c>
    </row>
    <row r="1232" spans="1:10" ht="20.25" customHeight="1">
      <c r="A1232" s="471">
        <v>5671</v>
      </c>
      <c r="B1232" s="477" t="s">
        <v>445</v>
      </c>
      <c r="C1232" s="480">
        <v>1</v>
      </c>
      <c r="D1232" s="478">
        <v>19549</v>
      </c>
      <c r="E1232" s="475">
        <v>39021</v>
      </c>
      <c r="F1232" s="475" t="s">
        <v>446</v>
      </c>
      <c r="G1232" s="476">
        <v>194</v>
      </c>
      <c r="H1232" s="475" t="s">
        <v>1034</v>
      </c>
      <c r="I1232" s="478" t="s">
        <v>1035</v>
      </c>
      <c r="J1232" s="502">
        <v>4400</v>
      </c>
    </row>
    <row r="1233" spans="1:10" ht="20.25" customHeight="1">
      <c r="A1233" s="471">
        <v>5671</v>
      </c>
      <c r="B1233" s="472" t="s">
        <v>445</v>
      </c>
      <c r="C1233" s="473">
        <v>2</v>
      </c>
      <c r="D1233" s="471">
        <v>51119</v>
      </c>
      <c r="E1233" s="474">
        <v>39169</v>
      </c>
      <c r="F1233" s="475" t="s">
        <v>446</v>
      </c>
      <c r="G1233" s="476">
        <v>195</v>
      </c>
      <c r="H1233" s="475" t="s">
        <v>1036</v>
      </c>
      <c r="I1233" s="478" t="s">
        <v>1037</v>
      </c>
      <c r="J1233" s="496">
        <v>3100.01</v>
      </c>
    </row>
    <row r="1234" spans="1:10" ht="20.25" customHeight="1">
      <c r="A1234" s="471">
        <v>5671</v>
      </c>
      <c r="B1234" s="472" t="s">
        <v>445</v>
      </c>
      <c r="C1234" s="473">
        <v>3</v>
      </c>
      <c r="D1234" s="471">
        <v>91383</v>
      </c>
      <c r="E1234" s="474">
        <v>39296</v>
      </c>
      <c r="F1234" s="475" t="s">
        <v>446</v>
      </c>
      <c r="G1234" s="476">
        <v>191</v>
      </c>
      <c r="H1234" s="475" t="s">
        <v>1038</v>
      </c>
      <c r="I1234" s="478" t="s">
        <v>1039</v>
      </c>
      <c r="J1234" s="496">
        <f>1889.1-94.45</f>
        <v>1794.6499999999999</v>
      </c>
    </row>
    <row r="1235" spans="1:10" ht="20.25" customHeight="1">
      <c r="A1235" s="471">
        <v>5671</v>
      </c>
      <c r="B1235" s="472" t="s">
        <v>445</v>
      </c>
      <c r="C1235" s="480">
        <v>4</v>
      </c>
      <c r="D1235" s="471" t="s">
        <v>1040</v>
      </c>
      <c r="E1235" s="474">
        <v>40673</v>
      </c>
      <c r="F1235" s="475" t="s">
        <v>446</v>
      </c>
      <c r="G1235" s="476">
        <v>192</v>
      </c>
      <c r="H1235" s="475" t="s">
        <v>1041</v>
      </c>
      <c r="I1235" s="478" t="s">
        <v>1042</v>
      </c>
      <c r="J1235" s="496">
        <v>1590</v>
      </c>
    </row>
    <row r="1236" spans="1:10" ht="20.25" customHeight="1">
      <c r="A1236" s="471">
        <v>5671</v>
      </c>
      <c r="B1236" s="472" t="s">
        <v>445</v>
      </c>
      <c r="C1236" s="473">
        <v>5</v>
      </c>
      <c r="D1236" s="471" t="s">
        <v>1043</v>
      </c>
      <c r="E1236" s="474">
        <v>40805</v>
      </c>
      <c r="F1236" s="475" t="s">
        <v>446</v>
      </c>
      <c r="G1236" s="476">
        <v>193</v>
      </c>
      <c r="H1236" s="475" t="s">
        <v>1044</v>
      </c>
      <c r="I1236" s="478" t="s">
        <v>1045</v>
      </c>
      <c r="J1236" s="496">
        <v>2060</v>
      </c>
    </row>
    <row r="1237" spans="1:10" ht="20.25" customHeight="1">
      <c r="A1237" s="471">
        <v>5671</v>
      </c>
      <c r="B1237" s="472" t="s">
        <v>445</v>
      </c>
      <c r="C1237" s="473">
        <v>6</v>
      </c>
      <c r="D1237" s="471" t="s">
        <v>1046</v>
      </c>
      <c r="E1237" s="472">
        <v>40878</v>
      </c>
      <c r="F1237" s="475" t="s">
        <v>734</v>
      </c>
      <c r="G1237" s="476">
        <v>46</v>
      </c>
      <c r="H1237" s="475" t="s">
        <v>1047</v>
      </c>
      <c r="I1237" s="498" t="s">
        <v>1048</v>
      </c>
      <c r="J1237" s="496">
        <f>13300*1.16</f>
        <v>15427.999999999998</v>
      </c>
    </row>
    <row r="1238" spans="1:10" ht="20.25" customHeight="1">
      <c r="A1238" s="471">
        <v>5671</v>
      </c>
      <c r="B1238" s="472" t="s">
        <v>445</v>
      </c>
      <c r="C1238" s="480">
        <v>7</v>
      </c>
      <c r="D1238" s="471" t="s">
        <v>1046</v>
      </c>
      <c r="E1238" s="472">
        <v>40878</v>
      </c>
      <c r="F1238" s="475" t="s">
        <v>734</v>
      </c>
      <c r="G1238" s="476">
        <v>47</v>
      </c>
      <c r="H1238" s="475" t="s">
        <v>1049</v>
      </c>
      <c r="I1238" s="498" t="s">
        <v>1050</v>
      </c>
      <c r="J1238" s="496">
        <f>11850*1.16</f>
        <v>13745.999999999998</v>
      </c>
    </row>
    <row r="1239" spans="1:10" ht="20.25" customHeight="1">
      <c r="A1239" s="471">
        <v>5671</v>
      </c>
      <c r="B1239" s="472" t="s">
        <v>445</v>
      </c>
      <c r="C1239" s="473">
        <v>8</v>
      </c>
      <c r="D1239" s="471" t="s">
        <v>1051</v>
      </c>
      <c r="E1239" s="472">
        <v>40889</v>
      </c>
      <c r="F1239" s="475" t="s">
        <v>446</v>
      </c>
      <c r="G1239" s="476">
        <v>196</v>
      </c>
      <c r="H1239" s="475" t="s">
        <v>1052</v>
      </c>
      <c r="I1239" s="498" t="s">
        <v>1053</v>
      </c>
      <c r="J1239" s="496">
        <f>9020*1.16</f>
        <v>10463.199999999999</v>
      </c>
    </row>
    <row r="1240" spans="1:10" ht="20.25" customHeight="1">
      <c r="A1240" s="471">
        <v>5671</v>
      </c>
      <c r="B1240" s="472" t="s">
        <v>445</v>
      </c>
      <c r="C1240" s="473">
        <v>9</v>
      </c>
      <c r="D1240" s="471">
        <v>1275</v>
      </c>
      <c r="E1240" s="474">
        <v>41219</v>
      </c>
      <c r="F1240" s="475" t="s">
        <v>468</v>
      </c>
      <c r="G1240" s="476">
        <v>197</v>
      </c>
      <c r="H1240" s="475" t="s">
        <v>1004</v>
      </c>
      <c r="I1240" s="478" t="s">
        <v>1054</v>
      </c>
      <c r="J1240" s="496">
        <f>8185.23*1.16</f>
        <v>9494.866799999998</v>
      </c>
    </row>
    <row r="1241" spans="1:10" ht="20.25" customHeight="1">
      <c r="A1241" s="471">
        <v>5671</v>
      </c>
      <c r="B1241" s="472" t="s">
        <v>445</v>
      </c>
      <c r="C1241" s="480">
        <v>10</v>
      </c>
      <c r="D1241" s="471">
        <v>1275</v>
      </c>
      <c r="E1241" s="474">
        <v>41219</v>
      </c>
      <c r="F1241" s="475" t="s">
        <v>468</v>
      </c>
      <c r="G1241" s="476">
        <v>197</v>
      </c>
      <c r="H1241" s="475" t="s">
        <v>1004</v>
      </c>
      <c r="I1241" s="478" t="s">
        <v>1055</v>
      </c>
      <c r="J1241" s="496">
        <f>1248.15*1.16</f>
        <v>1447.854</v>
      </c>
    </row>
    <row r="1242" spans="1:10" ht="20.25" customHeight="1">
      <c r="A1242" s="471">
        <v>5671</v>
      </c>
      <c r="B1242" s="472" t="s">
        <v>445</v>
      </c>
      <c r="C1242" s="473">
        <v>11</v>
      </c>
      <c r="D1242" s="471">
        <v>1275</v>
      </c>
      <c r="E1242" s="474">
        <v>41219</v>
      </c>
      <c r="F1242" s="475" t="s">
        <v>468</v>
      </c>
      <c r="G1242" s="476">
        <v>197</v>
      </c>
      <c r="H1242" s="475" t="s">
        <v>1004</v>
      </c>
      <c r="I1242" s="478" t="s">
        <v>1056</v>
      </c>
      <c r="J1242" s="496">
        <f>1248.13*1.16</f>
        <v>1447.8308</v>
      </c>
    </row>
    <row r="1243" spans="1:10" ht="20.25" customHeight="1">
      <c r="A1243" s="471">
        <v>5671</v>
      </c>
      <c r="B1243" s="472" t="s">
        <v>445</v>
      </c>
      <c r="C1243" s="473">
        <v>12</v>
      </c>
      <c r="D1243" s="471">
        <v>1275</v>
      </c>
      <c r="E1243" s="474">
        <v>41219</v>
      </c>
      <c r="F1243" s="475" t="s">
        <v>468</v>
      </c>
      <c r="G1243" s="476">
        <v>197</v>
      </c>
      <c r="H1243" s="475" t="s">
        <v>1004</v>
      </c>
      <c r="I1243" s="478" t="s">
        <v>1057</v>
      </c>
      <c r="J1243" s="496">
        <f>8116.61*1.16</f>
        <v>9415.2675999999992</v>
      </c>
    </row>
    <row r="1244" spans="1:10" ht="20.25" customHeight="1">
      <c r="A1244" s="471">
        <v>5671</v>
      </c>
      <c r="B1244" s="472" t="s">
        <v>445</v>
      </c>
      <c r="C1244" s="480">
        <v>13</v>
      </c>
      <c r="D1244" s="471">
        <v>1275</v>
      </c>
      <c r="E1244" s="474">
        <v>41219</v>
      </c>
      <c r="F1244" s="475" t="s">
        <v>468</v>
      </c>
      <c r="G1244" s="476">
        <v>197</v>
      </c>
      <c r="H1244" s="475" t="s">
        <v>1004</v>
      </c>
      <c r="I1244" s="478" t="s">
        <v>1058</v>
      </c>
      <c r="J1244" s="496">
        <f>2676.04*1.16</f>
        <v>3104.2063999999996</v>
      </c>
    </row>
    <row r="1245" spans="1:10" ht="20.25" customHeight="1">
      <c r="A1245" s="471">
        <v>5671</v>
      </c>
      <c r="B1245" s="472" t="s">
        <v>445</v>
      </c>
      <c r="C1245" s="473">
        <v>14</v>
      </c>
      <c r="D1245" s="471">
        <v>1275</v>
      </c>
      <c r="E1245" s="474">
        <v>41219</v>
      </c>
      <c r="F1245" s="475" t="s">
        <v>446</v>
      </c>
      <c r="G1245" s="476">
        <v>197</v>
      </c>
      <c r="H1245" s="475" t="s">
        <v>1004</v>
      </c>
      <c r="I1245" s="478" t="s">
        <v>1059</v>
      </c>
      <c r="J1245" s="496">
        <v>4040.55</v>
      </c>
    </row>
    <row r="1246" spans="1:10" ht="20.25" customHeight="1">
      <c r="A1246" s="471">
        <v>5671</v>
      </c>
      <c r="B1246" s="472" t="s">
        <v>445</v>
      </c>
      <c r="C1246" s="473">
        <v>15</v>
      </c>
      <c r="D1246" s="471">
        <v>1275</v>
      </c>
      <c r="E1246" s="474">
        <v>41219</v>
      </c>
      <c r="F1246" s="475" t="s">
        <v>446</v>
      </c>
      <c r="G1246" s="476">
        <v>197</v>
      </c>
      <c r="H1246" s="475" t="s">
        <v>1004</v>
      </c>
      <c r="I1246" s="478" t="s">
        <v>1060</v>
      </c>
      <c r="J1246" s="496">
        <f>4300.3*1.16</f>
        <v>4988.348</v>
      </c>
    </row>
    <row r="1247" spans="1:10" ht="20.25" customHeight="1">
      <c r="A1247" s="471">
        <v>5671</v>
      </c>
      <c r="B1247" s="472" t="s">
        <v>445</v>
      </c>
      <c r="C1247" s="480">
        <v>16</v>
      </c>
      <c r="D1247" s="471">
        <v>2459</v>
      </c>
      <c r="E1247" s="474">
        <v>41225</v>
      </c>
      <c r="F1247" s="475" t="s">
        <v>446</v>
      </c>
      <c r="G1247" s="476">
        <v>128</v>
      </c>
      <c r="H1247" s="475" t="s">
        <v>905</v>
      </c>
      <c r="I1247" s="478" t="s">
        <v>1061</v>
      </c>
      <c r="J1247" s="496">
        <f>7275.18*1.16</f>
        <v>8439.2088000000003</v>
      </c>
    </row>
    <row r="1248" spans="1:10" ht="20.25" customHeight="1">
      <c r="A1248" s="471">
        <v>5671</v>
      </c>
      <c r="B1248" s="472" t="s">
        <v>445</v>
      </c>
      <c r="C1248" s="473">
        <v>17</v>
      </c>
      <c r="D1248" s="471">
        <v>2459</v>
      </c>
      <c r="E1248" s="474">
        <v>41225</v>
      </c>
      <c r="F1248" s="475" t="s">
        <v>446</v>
      </c>
      <c r="G1248" s="476">
        <v>128</v>
      </c>
      <c r="H1248" s="475" t="s">
        <v>905</v>
      </c>
      <c r="I1248" s="478" t="s">
        <v>1062</v>
      </c>
      <c r="J1248" s="496">
        <f>8479.68*1.16</f>
        <v>9836.4287999999997</v>
      </c>
    </row>
    <row r="1249" spans="1:10" ht="20.25" customHeight="1">
      <c r="A1249" s="471">
        <v>5671</v>
      </c>
      <c r="B1249" s="472" t="s">
        <v>445</v>
      </c>
      <c r="C1249" s="473">
        <v>20</v>
      </c>
      <c r="D1249" s="471" t="s">
        <v>1063</v>
      </c>
      <c r="E1249" s="474">
        <v>41753</v>
      </c>
      <c r="F1249" s="475" t="s">
        <v>468</v>
      </c>
      <c r="G1249" s="476">
        <v>197</v>
      </c>
      <c r="H1249" s="475" t="s">
        <v>1004</v>
      </c>
      <c r="I1249" s="478" t="s">
        <v>1064</v>
      </c>
      <c r="J1249" s="497">
        <v>2564.42</v>
      </c>
    </row>
    <row r="1250" spans="1:10" ht="20.25" customHeight="1">
      <c r="A1250" s="471">
        <v>5671</v>
      </c>
      <c r="B1250" s="472" t="s">
        <v>445</v>
      </c>
      <c r="C1250" s="473">
        <v>21</v>
      </c>
      <c r="D1250" s="471" t="s">
        <v>1063</v>
      </c>
      <c r="E1250" s="474">
        <v>41753</v>
      </c>
      <c r="F1250" s="475" t="s">
        <v>468</v>
      </c>
      <c r="G1250" s="476">
        <v>197</v>
      </c>
      <c r="H1250" s="475" t="s">
        <v>1004</v>
      </c>
      <c r="I1250" s="478" t="s">
        <v>1064</v>
      </c>
      <c r="J1250" s="497">
        <v>2564.42</v>
      </c>
    </row>
    <row r="1251" spans="1:10" ht="20.25" customHeight="1">
      <c r="A1251" s="471">
        <v>5671</v>
      </c>
      <c r="B1251" s="472" t="s">
        <v>445</v>
      </c>
      <c r="C1251" s="480">
        <v>22</v>
      </c>
      <c r="D1251" s="471" t="s">
        <v>1063</v>
      </c>
      <c r="E1251" s="474">
        <v>41753</v>
      </c>
      <c r="F1251" s="475" t="s">
        <v>468</v>
      </c>
      <c r="G1251" s="476">
        <v>197</v>
      </c>
      <c r="H1251" s="475" t="s">
        <v>1004</v>
      </c>
      <c r="I1251" s="478" t="s">
        <v>1064</v>
      </c>
      <c r="J1251" s="497">
        <v>2564.42</v>
      </c>
    </row>
    <row r="1252" spans="1:10" ht="20.25" customHeight="1">
      <c r="A1252" s="471">
        <v>5671</v>
      </c>
      <c r="B1252" s="472" t="s">
        <v>445</v>
      </c>
      <c r="C1252" s="473">
        <v>23</v>
      </c>
      <c r="D1252" s="471" t="s">
        <v>1063</v>
      </c>
      <c r="E1252" s="474">
        <v>41753</v>
      </c>
      <c r="F1252" s="475" t="s">
        <v>468</v>
      </c>
      <c r="G1252" s="476">
        <v>197</v>
      </c>
      <c r="H1252" s="475" t="s">
        <v>1004</v>
      </c>
      <c r="I1252" s="478" t="s">
        <v>1064</v>
      </c>
      <c r="J1252" s="497">
        <v>2564.42</v>
      </c>
    </row>
    <row r="1253" spans="1:10" ht="20.25" customHeight="1">
      <c r="A1253" s="471">
        <v>5671</v>
      </c>
      <c r="B1253" s="472" t="s">
        <v>445</v>
      </c>
      <c r="C1253" s="473">
        <v>24</v>
      </c>
      <c r="D1253" s="471" t="s">
        <v>1063</v>
      </c>
      <c r="E1253" s="474">
        <v>41753</v>
      </c>
      <c r="F1253" s="475" t="s">
        <v>468</v>
      </c>
      <c r="G1253" s="476">
        <v>197</v>
      </c>
      <c r="H1253" s="475" t="s">
        <v>1004</v>
      </c>
      <c r="I1253" s="478" t="s">
        <v>1064</v>
      </c>
      <c r="J1253" s="497">
        <v>2564.42</v>
      </c>
    </row>
    <row r="1254" spans="1:10" ht="20.25" customHeight="1">
      <c r="A1254" s="471">
        <v>5671</v>
      </c>
      <c r="B1254" s="472" t="s">
        <v>445</v>
      </c>
      <c r="C1254" s="480">
        <v>25</v>
      </c>
      <c r="D1254" s="471" t="s">
        <v>1063</v>
      </c>
      <c r="E1254" s="474">
        <v>41753</v>
      </c>
      <c r="F1254" s="475" t="s">
        <v>468</v>
      </c>
      <c r="G1254" s="476">
        <v>197</v>
      </c>
      <c r="H1254" s="475" t="s">
        <v>1004</v>
      </c>
      <c r="I1254" s="478" t="s">
        <v>1064</v>
      </c>
      <c r="J1254" s="497">
        <v>2564.42</v>
      </c>
    </row>
    <row r="1255" spans="1:10" ht="20.25" customHeight="1">
      <c r="A1255" s="471">
        <v>5671</v>
      </c>
      <c r="B1255" s="472" t="s">
        <v>445</v>
      </c>
      <c r="C1255" s="473">
        <v>26</v>
      </c>
      <c r="D1255" s="471" t="s">
        <v>1063</v>
      </c>
      <c r="E1255" s="474">
        <v>41753</v>
      </c>
      <c r="F1255" s="475" t="s">
        <v>468</v>
      </c>
      <c r="G1255" s="476">
        <v>197</v>
      </c>
      <c r="H1255" s="475" t="s">
        <v>1004</v>
      </c>
      <c r="I1255" s="478" t="s">
        <v>1064</v>
      </c>
      <c r="J1255" s="497">
        <v>2564.42</v>
      </c>
    </row>
    <row r="1256" spans="1:10" ht="20.25" customHeight="1">
      <c r="A1256" s="471">
        <v>5671</v>
      </c>
      <c r="B1256" s="472" t="s">
        <v>445</v>
      </c>
      <c r="C1256" s="473">
        <v>27</v>
      </c>
      <c r="D1256" s="471" t="s">
        <v>1063</v>
      </c>
      <c r="E1256" s="474">
        <v>41753</v>
      </c>
      <c r="F1256" s="475" t="s">
        <v>468</v>
      </c>
      <c r="G1256" s="476">
        <v>197</v>
      </c>
      <c r="H1256" s="475" t="s">
        <v>1004</v>
      </c>
      <c r="I1256" s="478" t="s">
        <v>1064</v>
      </c>
      <c r="J1256" s="497">
        <v>2564.42</v>
      </c>
    </row>
    <row r="1257" spans="1:10" ht="20.25" customHeight="1">
      <c r="A1257" s="471">
        <v>5671</v>
      </c>
      <c r="B1257" s="472" t="s">
        <v>445</v>
      </c>
      <c r="C1257" s="480">
        <v>28</v>
      </c>
      <c r="D1257" s="471" t="s">
        <v>1063</v>
      </c>
      <c r="E1257" s="474">
        <v>41753</v>
      </c>
      <c r="F1257" s="475" t="s">
        <v>468</v>
      </c>
      <c r="G1257" s="476">
        <v>197</v>
      </c>
      <c r="H1257" s="475" t="s">
        <v>1004</v>
      </c>
      <c r="I1257" s="478" t="s">
        <v>1064</v>
      </c>
      <c r="J1257" s="497">
        <v>2564.4299999999998</v>
      </c>
    </row>
    <row r="1258" spans="1:10" ht="20.25" customHeight="1">
      <c r="A1258" s="471">
        <v>5671</v>
      </c>
      <c r="B1258" s="472" t="s">
        <v>445</v>
      </c>
      <c r="C1258" s="473">
        <v>30</v>
      </c>
      <c r="D1258" s="471" t="s">
        <v>1065</v>
      </c>
      <c r="E1258" s="474">
        <v>41759</v>
      </c>
      <c r="F1258" s="475" t="s">
        <v>446</v>
      </c>
      <c r="G1258" s="476">
        <v>197</v>
      </c>
      <c r="H1258" s="475" t="s">
        <v>1004</v>
      </c>
      <c r="I1258" s="478" t="s">
        <v>1066</v>
      </c>
      <c r="J1258" s="497">
        <v>1033</v>
      </c>
    </row>
    <row r="1259" spans="1:10" ht="20.25" customHeight="1">
      <c r="A1259" s="471">
        <v>5671</v>
      </c>
      <c r="B1259" s="472" t="s">
        <v>445</v>
      </c>
      <c r="C1259" s="480">
        <v>31</v>
      </c>
      <c r="D1259" s="471" t="s">
        <v>1065</v>
      </c>
      <c r="E1259" s="474">
        <v>41759</v>
      </c>
      <c r="F1259" s="475" t="s">
        <v>446</v>
      </c>
      <c r="G1259" s="476">
        <v>197</v>
      </c>
      <c r="H1259" s="475" t="s">
        <v>1004</v>
      </c>
      <c r="I1259" s="478" t="s">
        <v>1066</v>
      </c>
      <c r="J1259" s="497">
        <v>1033</v>
      </c>
    </row>
    <row r="1260" spans="1:10" ht="20.25" customHeight="1">
      <c r="A1260" s="471">
        <v>5671</v>
      </c>
      <c r="B1260" s="472" t="s">
        <v>445</v>
      </c>
      <c r="C1260" s="473">
        <v>32</v>
      </c>
      <c r="D1260" s="471" t="s">
        <v>1065</v>
      </c>
      <c r="E1260" s="474">
        <v>41759</v>
      </c>
      <c r="F1260" s="475" t="s">
        <v>446</v>
      </c>
      <c r="G1260" s="476">
        <v>197</v>
      </c>
      <c r="H1260" s="475" t="s">
        <v>1004</v>
      </c>
      <c r="I1260" s="478" t="s">
        <v>1067</v>
      </c>
      <c r="J1260" s="497">
        <v>4360</v>
      </c>
    </row>
    <row r="1261" spans="1:10" ht="20.25" customHeight="1">
      <c r="A1261" s="471">
        <v>5671</v>
      </c>
      <c r="B1261" s="472" t="s">
        <v>445</v>
      </c>
      <c r="C1261" s="473">
        <v>33</v>
      </c>
      <c r="D1261" s="471" t="s">
        <v>1065</v>
      </c>
      <c r="E1261" s="474">
        <v>41759</v>
      </c>
      <c r="F1261" s="475" t="s">
        <v>446</v>
      </c>
      <c r="G1261" s="476">
        <v>197</v>
      </c>
      <c r="H1261" s="475" t="s">
        <v>1004</v>
      </c>
      <c r="I1261" s="478" t="s">
        <v>1068</v>
      </c>
      <c r="J1261" s="497">
        <v>2260</v>
      </c>
    </row>
    <row r="1262" spans="1:10" ht="20.25" customHeight="1">
      <c r="A1262" s="471">
        <v>5671</v>
      </c>
      <c r="B1262" s="472" t="s">
        <v>445</v>
      </c>
      <c r="C1262" s="480">
        <v>34</v>
      </c>
      <c r="D1262" s="471" t="s">
        <v>1065</v>
      </c>
      <c r="E1262" s="474">
        <v>41759</v>
      </c>
      <c r="F1262" s="475" t="s">
        <v>446</v>
      </c>
      <c r="G1262" s="476">
        <v>197</v>
      </c>
      <c r="H1262" s="475" t="s">
        <v>1004</v>
      </c>
      <c r="I1262" s="478" t="s">
        <v>1069</v>
      </c>
      <c r="J1262" s="497">
        <v>1819</v>
      </c>
    </row>
    <row r="1263" spans="1:10" ht="20.25" customHeight="1">
      <c r="A1263" s="471">
        <v>5671</v>
      </c>
      <c r="B1263" s="472" t="s">
        <v>445</v>
      </c>
      <c r="C1263" s="473">
        <v>35</v>
      </c>
      <c r="D1263" s="471" t="s">
        <v>1065</v>
      </c>
      <c r="E1263" s="474">
        <v>41759</v>
      </c>
      <c r="F1263" s="475" t="s">
        <v>446</v>
      </c>
      <c r="G1263" s="476">
        <v>197</v>
      </c>
      <c r="H1263" s="475" t="s">
        <v>1004</v>
      </c>
      <c r="I1263" s="478" t="s">
        <v>1070</v>
      </c>
      <c r="J1263" s="497">
        <v>1550</v>
      </c>
    </row>
    <row r="1264" spans="1:10" ht="20.25" customHeight="1">
      <c r="A1264" s="471">
        <v>5671</v>
      </c>
      <c r="B1264" s="472" t="s">
        <v>445</v>
      </c>
      <c r="C1264" s="473">
        <v>36</v>
      </c>
      <c r="D1264" s="471" t="s">
        <v>1071</v>
      </c>
      <c r="E1264" s="474">
        <v>41759</v>
      </c>
      <c r="F1264" s="475" t="s">
        <v>446</v>
      </c>
      <c r="G1264" s="476">
        <v>197</v>
      </c>
      <c r="H1264" s="475" t="s">
        <v>1004</v>
      </c>
      <c r="I1264" s="478" t="s">
        <v>1072</v>
      </c>
      <c r="J1264" s="497">
        <v>3380</v>
      </c>
    </row>
    <row r="1265" spans="1:10" ht="20.25" customHeight="1">
      <c r="A1265" s="471">
        <v>5671</v>
      </c>
      <c r="B1265" s="472" t="s">
        <v>445</v>
      </c>
      <c r="C1265" s="480">
        <v>37</v>
      </c>
      <c r="D1265" s="471" t="s">
        <v>1073</v>
      </c>
      <c r="E1265" s="474">
        <v>41894</v>
      </c>
      <c r="F1265" s="475" t="s">
        <v>468</v>
      </c>
      <c r="G1265" s="476">
        <v>197</v>
      </c>
      <c r="H1265" s="475" t="s">
        <v>1004</v>
      </c>
      <c r="I1265" s="478" t="s">
        <v>1074</v>
      </c>
      <c r="J1265" s="497">
        <f xml:space="preserve"> 646.5517*1.16</f>
        <v>749.99997199999996</v>
      </c>
    </row>
    <row r="1266" spans="1:10" ht="20.25" customHeight="1">
      <c r="A1266" s="471">
        <v>5671</v>
      </c>
      <c r="B1266" s="472" t="s">
        <v>445</v>
      </c>
      <c r="C1266" s="473">
        <v>38</v>
      </c>
      <c r="D1266" s="471" t="s">
        <v>1073</v>
      </c>
      <c r="E1266" s="474">
        <v>41894</v>
      </c>
      <c r="F1266" s="475" t="s">
        <v>468</v>
      </c>
      <c r="G1266" s="476">
        <v>197</v>
      </c>
      <c r="H1266" s="475" t="s">
        <v>1004</v>
      </c>
      <c r="I1266" s="478" t="s">
        <v>1074</v>
      </c>
      <c r="J1266" s="497">
        <f xml:space="preserve"> 646.5517*1.16</f>
        <v>749.99997199999996</v>
      </c>
    </row>
    <row r="1267" spans="1:10" ht="20.25" customHeight="1">
      <c r="A1267" s="471">
        <v>5671</v>
      </c>
      <c r="B1267" s="472" t="s">
        <v>445</v>
      </c>
      <c r="C1267" s="473">
        <v>39</v>
      </c>
      <c r="D1267" s="471" t="s">
        <v>1073</v>
      </c>
      <c r="E1267" s="474">
        <v>41894</v>
      </c>
      <c r="F1267" s="475" t="s">
        <v>468</v>
      </c>
      <c r="G1267" s="476">
        <v>197</v>
      </c>
      <c r="H1267" s="475" t="s">
        <v>1004</v>
      </c>
      <c r="I1267" s="478" t="s">
        <v>1075</v>
      </c>
      <c r="J1267" s="497">
        <f t="shared" ref="J1267:J1272" si="31">3448.2759*1.16</f>
        <v>4000.0000439999999</v>
      </c>
    </row>
    <row r="1268" spans="1:10" ht="20.25" customHeight="1">
      <c r="A1268" s="471">
        <v>5671</v>
      </c>
      <c r="B1268" s="472" t="s">
        <v>445</v>
      </c>
      <c r="C1268" s="480">
        <v>40</v>
      </c>
      <c r="D1268" s="471" t="s">
        <v>1076</v>
      </c>
      <c r="E1268" s="474">
        <v>41926</v>
      </c>
      <c r="F1268" s="475" t="s">
        <v>468</v>
      </c>
      <c r="G1268" s="476">
        <v>197</v>
      </c>
      <c r="H1268" s="475" t="s">
        <v>1004</v>
      </c>
      <c r="I1268" s="478" t="s">
        <v>1077</v>
      </c>
      <c r="J1268" s="497">
        <f t="shared" si="31"/>
        <v>4000.0000439999999</v>
      </c>
    </row>
    <row r="1269" spans="1:10" ht="20.25" customHeight="1">
      <c r="A1269" s="471">
        <v>5671</v>
      </c>
      <c r="B1269" s="472" t="s">
        <v>445</v>
      </c>
      <c r="C1269" s="473">
        <v>41</v>
      </c>
      <c r="D1269" s="471" t="s">
        <v>1076</v>
      </c>
      <c r="E1269" s="474">
        <v>41926</v>
      </c>
      <c r="F1269" s="475" t="s">
        <v>468</v>
      </c>
      <c r="G1269" s="476">
        <v>197</v>
      </c>
      <c r="H1269" s="475" t="s">
        <v>1004</v>
      </c>
      <c r="I1269" s="478" t="s">
        <v>1077</v>
      </c>
      <c r="J1269" s="497">
        <f t="shared" si="31"/>
        <v>4000.0000439999999</v>
      </c>
    </row>
    <row r="1270" spans="1:10" ht="20.25" customHeight="1">
      <c r="A1270" s="471">
        <v>5671</v>
      </c>
      <c r="B1270" s="472" t="s">
        <v>445</v>
      </c>
      <c r="C1270" s="473">
        <v>42</v>
      </c>
      <c r="D1270" s="471" t="s">
        <v>1076</v>
      </c>
      <c r="E1270" s="474">
        <v>41926</v>
      </c>
      <c r="F1270" s="475" t="s">
        <v>468</v>
      </c>
      <c r="G1270" s="476">
        <v>197</v>
      </c>
      <c r="H1270" s="475" t="s">
        <v>1004</v>
      </c>
      <c r="I1270" s="478" t="s">
        <v>1077</v>
      </c>
      <c r="J1270" s="497">
        <f t="shared" si="31"/>
        <v>4000.0000439999999</v>
      </c>
    </row>
    <row r="1271" spans="1:10" ht="20.25" customHeight="1">
      <c r="A1271" s="471">
        <v>5671</v>
      </c>
      <c r="B1271" s="472" t="s">
        <v>445</v>
      </c>
      <c r="C1271" s="480">
        <v>43</v>
      </c>
      <c r="D1271" s="471" t="s">
        <v>1076</v>
      </c>
      <c r="E1271" s="474">
        <v>41926</v>
      </c>
      <c r="F1271" s="475" t="s">
        <v>468</v>
      </c>
      <c r="G1271" s="476">
        <v>197</v>
      </c>
      <c r="H1271" s="475" t="s">
        <v>1004</v>
      </c>
      <c r="I1271" s="478" t="s">
        <v>1077</v>
      </c>
      <c r="J1271" s="497">
        <f t="shared" si="31"/>
        <v>4000.0000439999999</v>
      </c>
    </row>
    <row r="1272" spans="1:10" ht="20.25" customHeight="1">
      <c r="A1272" s="471">
        <v>5671</v>
      </c>
      <c r="B1272" s="472" t="s">
        <v>445</v>
      </c>
      <c r="C1272" s="473">
        <v>44</v>
      </c>
      <c r="D1272" s="471" t="s">
        <v>1076</v>
      </c>
      <c r="E1272" s="474">
        <v>41926</v>
      </c>
      <c r="F1272" s="475" t="s">
        <v>468</v>
      </c>
      <c r="G1272" s="476">
        <v>197</v>
      </c>
      <c r="H1272" s="475" t="s">
        <v>1004</v>
      </c>
      <c r="I1272" s="478" t="s">
        <v>1077</v>
      </c>
      <c r="J1272" s="497">
        <f t="shared" si="31"/>
        <v>4000.0000439999999</v>
      </c>
    </row>
    <row r="1273" spans="1:10" ht="20.25" customHeight="1">
      <c r="A1273" s="471">
        <v>5671</v>
      </c>
      <c r="B1273" s="474" t="s">
        <v>445</v>
      </c>
      <c r="C1273" s="473">
        <v>45</v>
      </c>
      <c r="D1273" s="471" t="s">
        <v>1078</v>
      </c>
      <c r="E1273" s="474">
        <v>41991</v>
      </c>
      <c r="F1273" s="475" t="s">
        <v>468</v>
      </c>
      <c r="G1273" s="476">
        <v>197</v>
      </c>
      <c r="H1273" s="475" t="s">
        <v>1004</v>
      </c>
      <c r="I1273" s="478" t="s">
        <v>1079</v>
      </c>
      <c r="J1273" s="497">
        <f>2021.5517*1.16</f>
        <v>2344.9999719999996</v>
      </c>
    </row>
    <row r="1274" spans="1:10" ht="20.25" customHeight="1">
      <c r="A1274" s="471">
        <v>5671</v>
      </c>
      <c r="B1274" s="474" t="s">
        <v>445</v>
      </c>
      <c r="C1274" s="473">
        <v>46</v>
      </c>
      <c r="D1274" s="471" t="s">
        <v>1078</v>
      </c>
      <c r="E1274" s="474">
        <v>41991</v>
      </c>
      <c r="F1274" s="475" t="s">
        <v>468</v>
      </c>
      <c r="G1274" s="476">
        <v>197</v>
      </c>
      <c r="H1274" s="475" t="s">
        <v>1004</v>
      </c>
      <c r="I1274" s="478" t="s">
        <v>1079</v>
      </c>
      <c r="J1274" s="497">
        <f>2021.5517*1.16</f>
        <v>2344.9999719999996</v>
      </c>
    </row>
    <row r="1275" spans="1:10" ht="20.25" customHeight="1">
      <c r="A1275" s="471">
        <v>5691</v>
      </c>
      <c r="B1275" s="475" t="s">
        <v>445</v>
      </c>
      <c r="C1275" s="482" t="s">
        <v>1080</v>
      </c>
      <c r="D1275" s="478" t="s">
        <v>1081</v>
      </c>
      <c r="E1275" s="475">
        <v>40582</v>
      </c>
      <c r="F1275" s="475" t="s">
        <v>468</v>
      </c>
      <c r="G1275" s="476">
        <v>175</v>
      </c>
      <c r="H1275" s="475" t="s">
        <v>1082</v>
      </c>
      <c r="I1275" s="478" t="s">
        <v>1083</v>
      </c>
      <c r="J1275" s="503">
        <v>481400</v>
      </c>
    </row>
    <row r="1276" spans="1:10" ht="20.25" customHeight="1">
      <c r="A1276" s="471">
        <v>5691</v>
      </c>
      <c r="B1276" s="475" t="s">
        <v>445</v>
      </c>
      <c r="C1276" s="482" t="s">
        <v>1084</v>
      </c>
      <c r="D1276" s="478" t="s">
        <v>1081</v>
      </c>
      <c r="E1276" s="475">
        <v>40582</v>
      </c>
      <c r="F1276" s="475" t="s">
        <v>468</v>
      </c>
      <c r="G1276" s="476">
        <v>175</v>
      </c>
      <c r="H1276" s="475" t="s">
        <v>1082</v>
      </c>
      <c r="I1276" s="478" t="s">
        <v>1085</v>
      </c>
      <c r="J1276" s="503">
        <v>0</v>
      </c>
    </row>
    <row r="1277" spans="1:10" ht="20.25" customHeight="1">
      <c r="A1277" s="471">
        <v>5691</v>
      </c>
      <c r="B1277" s="474" t="s">
        <v>445</v>
      </c>
      <c r="C1277" s="494" t="s">
        <v>1086</v>
      </c>
      <c r="D1277" s="478" t="s">
        <v>1081</v>
      </c>
      <c r="E1277" s="474">
        <v>40582</v>
      </c>
      <c r="F1277" s="475" t="s">
        <v>446</v>
      </c>
      <c r="G1277" s="476">
        <v>175</v>
      </c>
      <c r="H1277" s="475" t="s">
        <v>1082</v>
      </c>
      <c r="I1277" s="478" t="s">
        <v>1087</v>
      </c>
      <c r="J1277" s="497">
        <v>0</v>
      </c>
    </row>
    <row r="1278" spans="1:10" ht="20.25" customHeight="1">
      <c r="A1278" s="471">
        <v>5691</v>
      </c>
      <c r="B1278" s="474" t="s">
        <v>445</v>
      </c>
      <c r="C1278" s="482" t="s">
        <v>1088</v>
      </c>
      <c r="D1278" s="478" t="s">
        <v>1081</v>
      </c>
      <c r="E1278" s="474">
        <v>40582</v>
      </c>
      <c r="F1278" s="475" t="s">
        <v>446</v>
      </c>
      <c r="G1278" s="476">
        <v>175</v>
      </c>
      <c r="H1278" s="475" t="s">
        <v>1082</v>
      </c>
      <c r="I1278" s="478" t="s">
        <v>1089</v>
      </c>
      <c r="J1278" s="497">
        <v>0</v>
      </c>
    </row>
    <row r="1279" spans="1:10" ht="20.25" customHeight="1">
      <c r="A1279" s="471">
        <v>5691</v>
      </c>
      <c r="B1279" s="474" t="s">
        <v>445</v>
      </c>
      <c r="C1279" s="482" t="s">
        <v>1090</v>
      </c>
      <c r="D1279" s="478" t="s">
        <v>1081</v>
      </c>
      <c r="E1279" s="474">
        <v>40582</v>
      </c>
      <c r="F1279" s="475" t="s">
        <v>446</v>
      </c>
      <c r="G1279" s="476">
        <v>175</v>
      </c>
      <c r="H1279" s="475" t="s">
        <v>1082</v>
      </c>
      <c r="I1279" s="478" t="s">
        <v>1091</v>
      </c>
      <c r="J1279" s="497">
        <v>0</v>
      </c>
    </row>
    <row r="1280" spans="1:10" ht="20.25" customHeight="1">
      <c r="A1280" s="471">
        <v>5691</v>
      </c>
      <c r="B1280" s="474" t="s">
        <v>445</v>
      </c>
      <c r="C1280" s="494" t="s">
        <v>1092</v>
      </c>
      <c r="D1280" s="478" t="s">
        <v>1081</v>
      </c>
      <c r="E1280" s="474">
        <v>40582</v>
      </c>
      <c r="F1280" s="475" t="s">
        <v>446</v>
      </c>
      <c r="G1280" s="476">
        <v>175</v>
      </c>
      <c r="H1280" s="475" t="s">
        <v>1082</v>
      </c>
      <c r="I1280" s="478" t="s">
        <v>1093</v>
      </c>
      <c r="J1280" s="497">
        <v>0</v>
      </c>
    </row>
    <row r="1281" spans="1:10" ht="20.25" customHeight="1">
      <c r="A1281" s="471">
        <v>5691</v>
      </c>
      <c r="B1281" s="474" t="s">
        <v>445</v>
      </c>
      <c r="C1281" s="482" t="s">
        <v>1094</v>
      </c>
      <c r="D1281" s="478" t="s">
        <v>1081</v>
      </c>
      <c r="E1281" s="474">
        <v>40582</v>
      </c>
      <c r="F1281" s="475" t="s">
        <v>446</v>
      </c>
      <c r="G1281" s="476">
        <v>175</v>
      </c>
      <c r="H1281" s="475" t="s">
        <v>1082</v>
      </c>
      <c r="I1281" s="478" t="s">
        <v>1497</v>
      </c>
      <c r="J1281" s="497">
        <v>0</v>
      </c>
    </row>
    <row r="1282" spans="1:10" ht="20.25" customHeight="1">
      <c r="A1282" s="471">
        <v>5691</v>
      </c>
      <c r="B1282" s="475" t="s">
        <v>445</v>
      </c>
      <c r="C1282" s="482" t="s">
        <v>1095</v>
      </c>
      <c r="D1282" s="478" t="s">
        <v>1081</v>
      </c>
      <c r="E1282" s="475">
        <v>40582</v>
      </c>
      <c r="F1282" s="475" t="s">
        <v>446</v>
      </c>
      <c r="G1282" s="476">
        <v>175</v>
      </c>
      <c r="H1282" s="475" t="s">
        <v>1082</v>
      </c>
      <c r="I1282" s="478" t="s">
        <v>1096</v>
      </c>
      <c r="J1282" s="503">
        <v>0</v>
      </c>
    </row>
    <row r="1283" spans="1:10" ht="20.25" customHeight="1">
      <c r="A1283" s="471">
        <v>5691</v>
      </c>
      <c r="B1283" s="475" t="s">
        <v>445</v>
      </c>
      <c r="C1283" s="494" t="s">
        <v>1097</v>
      </c>
      <c r="D1283" s="478" t="s">
        <v>1081</v>
      </c>
      <c r="E1283" s="475">
        <v>40582</v>
      </c>
      <c r="F1283" s="475" t="s">
        <v>446</v>
      </c>
      <c r="G1283" s="476">
        <v>175</v>
      </c>
      <c r="H1283" s="475" t="s">
        <v>1082</v>
      </c>
      <c r="I1283" s="478" t="s">
        <v>1098</v>
      </c>
      <c r="J1283" s="503">
        <v>0</v>
      </c>
    </row>
    <row r="1284" spans="1:10" ht="20.25" customHeight="1">
      <c r="A1284" s="471">
        <v>5691</v>
      </c>
      <c r="B1284" s="475" t="s">
        <v>445</v>
      </c>
      <c r="C1284" s="482" t="s">
        <v>1099</v>
      </c>
      <c r="D1284" s="478" t="s">
        <v>1081</v>
      </c>
      <c r="E1284" s="475">
        <v>40582</v>
      </c>
      <c r="F1284" s="475" t="s">
        <v>446</v>
      </c>
      <c r="G1284" s="476">
        <v>175</v>
      </c>
      <c r="H1284" s="475" t="s">
        <v>1082</v>
      </c>
      <c r="I1284" s="478" t="s">
        <v>1098</v>
      </c>
      <c r="J1284" s="503">
        <v>0</v>
      </c>
    </row>
    <row r="1285" spans="1:10" ht="20.25" customHeight="1">
      <c r="A1285" s="471">
        <v>5691</v>
      </c>
      <c r="B1285" s="475" t="s">
        <v>445</v>
      </c>
      <c r="C1285" s="482" t="s">
        <v>1100</v>
      </c>
      <c r="D1285" s="478" t="s">
        <v>1081</v>
      </c>
      <c r="E1285" s="475">
        <v>40582</v>
      </c>
      <c r="F1285" s="475" t="s">
        <v>446</v>
      </c>
      <c r="G1285" s="476">
        <v>175</v>
      </c>
      <c r="H1285" s="475" t="s">
        <v>1082</v>
      </c>
      <c r="I1285" s="478" t="s">
        <v>1098</v>
      </c>
      <c r="J1285" s="503">
        <v>0</v>
      </c>
    </row>
    <row r="1286" spans="1:10" ht="20.25" customHeight="1">
      <c r="A1286" s="471">
        <v>5691</v>
      </c>
      <c r="B1286" s="475" t="s">
        <v>445</v>
      </c>
      <c r="C1286" s="494" t="s">
        <v>1101</v>
      </c>
      <c r="D1286" s="478" t="s">
        <v>1081</v>
      </c>
      <c r="E1286" s="475">
        <v>40582</v>
      </c>
      <c r="F1286" s="475" t="s">
        <v>468</v>
      </c>
      <c r="G1286" s="476">
        <v>175</v>
      </c>
      <c r="H1286" s="475" t="s">
        <v>1082</v>
      </c>
      <c r="I1286" s="478" t="s">
        <v>1083</v>
      </c>
      <c r="J1286" s="503">
        <v>0</v>
      </c>
    </row>
    <row r="1287" spans="1:10" ht="20.25" customHeight="1">
      <c r="A1287" s="471">
        <v>5691</v>
      </c>
      <c r="B1287" s="474" t="s">
        <v>445</v>
      </c>
      <c r="C1287" s="482" t="s">
        <v>1102</v>
      </c>
      <c r="D1287" s="478" t="s">
        <v>1081</v>
      </c>
      <c r="E1287" s="474">
        <v>40582</v>
      </c>
      <c r="F1287" s="475" t="s">
        <v>446</v>
      </c>
      <c r="G1287" s="476">
        <v>175</v>
      </c>
      <c r="H1287" s="475" t="s">
        <v>1082</v>
      </c>
      <c r="I1287" s="478" t="s">
        <v>1103</v>
      </c>
      <c r="J1287" s="497">
        <v>0</v>
      </c>
    </row>
    <row r="1288" spans="1:10" ht="20.25" customHeight="1">
      <c r="A1288" s="471">
        <v>5691</v>
      </c>
      <c r="B1288" s="474" t="s">
        <v>445</v>
      </c>
      <c r="C1288" s="482" t="s">
        <v>1104</v>
      </c>
      <c r="D1288" s="478" t="s">
        <v>1081</v>
      </c>
      <c r="E1288" s="474">
        <v>40582</v>
      </c>
      <c r="F1288" s="475" t="s">
        <v>446</v>
      </c>
      <c r="G1288" s="476">
        <v>175</v>
      </c>
      <c r="H1288" s="475" t="s">
        <v>1082</v>
      </c>
      <c r="I1288" s="478" t="s">
        <v>1105</v>
      </c>
      <c r="J1288" s="497">
        <v>0</v>
      </c>
    </row>
    <row r="1289" spans="1:10" ht="20.25" customHeight="1">
      <c r="A1289" s="471">
        <v>5691</v>
      </c>
      <c r="B1289" s="474" t="s">
        <v>445</v>
      </c>
      <c r="C1289" s="494" t="s">
        <v>1106</v>
      </c>
      <c r="D1289" s="478" t="s">
        <v>1081</v>
      </c>
      <c r="E1289" s="474">
        <v>40582</v>
      </c>
      <c r="F1289" s="475" t="s">
        <v>446</v>
      </c>
      <c r="G1289" s="476">
        <v>175</v>
      </c>
      <c r="H1289" s="475" t="s">
        <v>1082</v>
      </c>
      <c r="I1289" s="478" t="s">
        <v>1107</v>
      </c>
      <c r="J1289" s="497">
        <v>0</v>
      </c>
    </row>
    <row r="1290" spans="1:10" ht="20.25" customHeight="1">
      <c r="A1290" s="471">
        <v>5691</v>
      </c>
      <c r="B1290" s="475" t="s">
        <v>445</v>
      </c>
      <c r="C1290" s="482" t="s">
        <v>1108</v>
      </c>
      <c r="D1290" s="478" t="s">
        <v>1081</v>
      </c>
      <c r="E1290" s="475">
        <v>40582</v>
      </c>
      <c r="F1290" s="475" t="s">
        <v>446</v>
      </c>
      <c r="G1290" s="476">
        <v>175</v>
      </c>
      <c r="H1290" s="475" t="s">
        <v>1082</v>
      </c>
      <c r="I1290" s="478" t="s">
        <v>1109</v>
      </c>
      <c r="J1290" s="503">
        <v>0</v>
      </c>
    </row>
    <row r="1291" spans="1:10" ht="20.25" customHeight="1">
      <c r="A1291" s="471">
        <v>5691</v>
      </c>
      <c r="B1291" s="475" t="s">
        <v>445</v>
      </c>
      <c r="C1291" s="482" t="s">
        <v>1110</v>
      </c>
      <c r="D1291" s="478" t="s">
        <v>1081</v>
      </c>
      <c r="E1291" s="475">
        <v>40582</v>
      </c>
      <c r="F1291" s="475" t="s">
        <v>446</v>
      </c>
      <c r="G1291" s="476">
        <v>175</v>
      </c>
      <c r="H1291" s="475" t="s">
        <v>1082</v>
      </c>
      <c r="I1291" s="478" t="s">
        <v>1111</v>
      </c>
      <c r="J1291" s="503">
        <v>0</v>
      </c>
    </row>
    <row r="1292" spans="1:10" ht="20.25" customHeight="1">
      <c r="A1292" s="471">
        <v>5691</v>
      </c>
      <c r="B1292" s="475" t="s">
        <v>445</v>
      </c>
      <c r="C1292" s="494" t="s">
        <v>1112</v>
      </c>
      <c r="D1292" s="478" t="s">
        <v>1081</v>
      </c>
      <c r="E1292" s="475">
        <v>40582</v>
      </c>
      <c r="F1292" s="475" t="s">
        <v>446</v>
      </c>
      <c r="G1292" s="476">
        <v>175</v>
      </c>
      <c r="H1292" s="475" t="s">
        <v>1082</v>
      </c>
      <c r="I1292" s="478" t="s">
        <v>1113</v>
      </c>
      <c r="J1292" s="503">
        <v>0</v>
      </c>
    </row>
    <row r="1293" spans="1:10" ht="20.25" customHeight="1">
      <c r="A1293" s="471">
        <v>5691</v>
      </c>
      <c r="B1293" s="475" t="s">
        <v>445</v>
      </c>
      <c r="C1293" s="482" t="s">
        <v>1114</v>
      </c>
      <c r="D1293" s="478" t="s">
        <v>1081</v>
      </c>
      <c r="E1293" s="474">
        <v>40582</v>
      </c>
      <c r="F1293" s="475" t="s">
        <v>446</v>
      </c>
      <c r="G1293" s="476">
        <v>175</v>
      </c>
      <c r="H1293" s="475" t="s">
        <v>1082</v>
      </c>
      <c r="I1293" s="478" t="s">
        <v>1498</v>
      </c>
      <c r="J1293" s="497">
        <v>0</v>
      </c>
    </row>
    <row r="1294" spans="1:10" ht="20.25" customHeight="1">
      <c r="A1294" s="471">
        <v>5691</v>
      </c>
      <c r="B1294" s="475" t="s">
        <v>445</v>
      </c>
      <c r="C1294" s="482" t="s">
        <v>1115</v>
      </c>
      <c r="D1294" s="478" t="s">
        <v>1081</v>
      </c>
      <c r="E1294" s="474">
        <v>40582</v>
      </c>
      <c r="F1294" s="475" t="s">
        <v>446</v>
      </c>
      <c r="G1294" s="476">
        <v>175</v>
      </c>
      <c r="H1294" s="475" t="s">
        <v>1082</v>
      </c>
      <c r="I1294" s="478" t="s">
        <v>1498</v>
      </c>
      <c r="J1294" s="497">
        <v>0</v>
      </c>
    </row>
    <row r="1295" spans="1:10" ht="20.25" customHeight="1">
      <c r="A1295" s="471">
        <v>5691</v>
      </c>
      <c r="B1295" s="475" t="s">
        <v>445</v>
      </c>
      <c r="C1295" s="494" t="s">
        <v>1116</v>
      </c>
      <c r="D1295" s="478" t="s">
        <v>1081</v>
      </c>
      <c r="E1295" s="474">
        <v>40582</v>
      </c>
      <c r="F1295" s="475" t="s">
        <v>446</v>
      </c>
      <c r="G1295" s="476">
        <v>175</v>
      </c>
      <c r="H1295" s="475" t="s">
        <v>1082</v>
      </c>
      <c r="I1295" s="478" t="s">
        <v>1498</v>
      </c>
      <c r="J1295" s="497">
        <v>0</v>
      </c>
    </row>
    <row r="1296" spans="1:10" ht="20.25" customHeight="1">
      <c r="A1296" s="471">
        <v>5691</v>
      </c>
      <c r="B1296" s="475" t="s">
        <v>445</v>
      </c>
      <c r="C1296" s="482" t="s">
        <v>1117</v>
      </c>
      <c r="D1296" s="478" t="s">
        <v>1081</v>
      </c>
      <c r="E1296" s="474">
        <v>40582</v>
      </c>
      <c r="F1296" s="475" t="s">
        <v>446</v>
      </c>
      <c r="G1296" s="476">
        <v>175</v>
      </c>
      <c r="H1296" s="475" t="s">
        <v>1082</v>
      </c>
      <c r="I1296" s="478" t="s">
        <v>1499</v>
      </c>
      <c r="J1296" s="497">
        <v>0</v>
      </c>
    </row>
    <row r="1297" spans="1:10" ht="20.25" customHeight="1">
      <c r="A1297" s="471">
        <v>5691</v>
      </c>
      <c r="B1297" s="475" t="s">
        <v>445</v>
      </c>
      <c r="C1297" s="482" t="s">
        <v>1118</v>
      </c>
      <c r="D1297" s="478" t="s">
        <v>1081</v>
      </c>
      <c r="E1297" s="475">
        <v>40582</v>
      </c>
      <c r="F1297" s="475" t="s">
        <v>468</v>
      </c>
      <c r="G1297" s="476">
        <v>175</v>
      </c>
      <c r="H1297" s="475" t="s">
        <v>1082</v>
      </c>
      <c r="I1297" s="478" t="s">
        <v>1083</v>
      </c>
      <c r="J1297" s="503">
        <v>0</v>
      </c>
    </row>
    <row r="1298" spans="1:10" ht="20.25" customHeight="1">
      <c r="A1298" s="471">
        <v>5691</v>
      </c>
      <c r="B1298" s="475" t="s">
        <v>445</v>
      </c>
      <c r="C1298" s="494" t="s">
        <v>1119</v>
      </c>
      <c r="D1298" s="478" t="s">
        <v>1081</v>
      </c>
      <c r="E1298" s="474">
        <v>40582</v>
      </c>
      <c r="F1298" s="475" t="s">
        <v>446</v>
      </c>
      <c r="G1298" s="476">
        <v>175</v>
      </c>
      <c r="H1298" s="475" t="s">
        <v>1082</v>
      </c>
      <c r="I1298" s="478" t="s">
        <v>1499</v>
      </c>
      <c r="J1298" s="497">
        <v>0</v>
      </c>
    </row>
    <row r="1299" spans="1:10" ht="20.25" customHeight="1">
      <c r="A1299" s="471">
        <v>5691</v>
      </c>
      <c r="B1299" s="475" t="s">
        <v>445</v>
      </c>
      <c r="C1299" s="482" t="s">
        <v>1120</v>
      </c>
      <c r="D1299" s="478" t="s">
        <v>1081</v>
      </c>
      <c r="E1299" s="474">
        <v>40582</v>
      </c>
      <c r="F1299" s="475" t="s">
        <v>446</v>
      </c>
      <c r="G1299" s="476">
        <v>175</v>
      </c>
      <c r="H1299" s="475" t="s">
        <v>1082</v>
      </c>
      <c r="I1299" s="478" t="s">
        <v>1499</v>
      </c>
      <c r="J1299" s="497">
        <v>0</v>
      </c>
    </row>
    <row r="1300" spans="1:10" ht="20.25" customHeight="1">
      <c r="A1300" s="471">
        <v>5691</v>
      </c>
      <c r="B1300" s="475" t="s">
        <v>445</v>
      </c>
      <c r="C1300" s="482" t="s">
        <v>1121</v>
      </c>
      <c r="D1300" s="478" t="s">
        <v>1081</v>
      </c>
      <c r="E1300" s="474">
        <v>40582</v>
      </c>
      <c r="F1300" s="475" t="s">
        <v>446</v>
      </c>
      <c r="G1300" s="476">
        <v>175</v>
      </c>
      <c r="H1300" s="475" t="s">
        <v>1082</v>
      </c>
      <c r="I1300" s="478" t="s">
        <v>1500</v>
      </c>
      <c r="J1300" s="497">
        <v>0</v>
      </c>
    </row>
    <row r="1301" spans="1:10" ht="20.25" customHeight="1">
      <c r="A1301" s="471">
        <v>5691</v>
      </c>
      <c r="B1301" s="475" t="s">
        <v>445</v>
      </c>
      <c r="C1301" s="494" t="s">
        <v>1122</v>
      </c>
      <c r="D1301" s="478" t="s">
        <v>1081</v>
      </c>
      <c r="E1301" s="474">
        <v>40582</v>
      </c>
      <c r="F1301" s="475" t="s">
        <v>446</v>
      </c>
      <c r="G1301" s="476">
        <v>175</v>
      </c>
      <c r="H1301" s="475" t="s">
        <v>1082</v>
      </c>
      <c r="I1301" s="478" t="s">
        <v>1500</v>
      </c>
      <c r="J1301" s="497">
        <v>0</v>
      </c>
    </row>
    <row r="1302" spans="1:10" ht="20.25" customHeight="1">
      <c r="A1302" s="471">
        <v>5691</v>
      </c>
      <c r="B1302" s="475" t="s">
        <v>445</v>
      </c>
      <c r="C1302" s="482" t="s">
        <v>1123</v>
      </c>
      <c r="D1302" s="478" t="s">
        <v>1081</v>
      </c>
      <c r="E1302" s="474">
        <v>40582</v>
      </c>
      <c r="F1302" s="475" t="s">
        <v>446</v>
      </c>
      <c r="G1302" s="476">
        <v>175</v>
      </c>
      <c r="H1302" s="475" t="s">
        <v>1082</v>
      </c>
      <c r="I1302" s="478" t="s">
        <v>1500</v>
      </c>
      <c r="J1302" s="497">
        <v>0</v>
      </c>
    </row>
    <row r="1303" spans="1:10" ht="20.25" customHeight="1">
      <c r="A1303" s="471">
        <v>5691</v>
      </c>
      <c r="B1303" s="475" t="s">
        <v>445</v>
      </c>
      <c r="C1303" s="482" t="s">
        <v>1124</v>
      </c>
      <c r="D1303" s="478" t="s">
        <v>1081</v>
      </c>
      <c r="E1303" s="474">
        <v>40582</v>
      </c>
      <c r="F1303" s="475" t="s">
        <v>446</v>
      </c>
      <c r="G1303" s="476">
        <v>175</v>
      </c>
      <c r="H1303" s="475" t="s">
        <v>1082</v>
      </c>
      <c r="I1303" s="478" t="s">
        <v>1501</v>
      </c>
      <c r="J1303" s="497">
        <v>0</v>
      </c>
    </row>
    <row r="1304" spans="1:10" ht="20.25" customHeight="1">
      <c r="A1304" s="471">
        <v>5691</v>
      </c>
      <c r="B1304" s="475" t="s">
        <v>445</v>
      </c>
      <c r="C1304" s="494" t="s">
        <v>1125</v>
      </c>
      <c r="D1304" s="478" t="s">
        <v>1081</v>
      </c>
      <c r="E1304" s="474">
        <v>40582</v>
      </c>
      <c r="F1304" s="475" t="s">
        <v>446</v>
      </c>
      <c r="G1304" s="476">
        <v>175</v>
      </c>
      <c r="H1304" s="475" t="s">
        <v>1082</v>
      </c>
      <c r="I1304" s="478" t="s">
        <v>1501</v>
      </c>
      <c r="J1304" s="497">
        <v>0</v>
      </c>
    </row>
    <row r="1305" spans="1:10" ht="20.25" customHeight="1">
      <c r="A1305" s="471">
        <v>5691</v>
      </c>
      <c r="B1305" s="475" t="s">
        <v>445</v>
      </c>
      <c r="C1305" s="482" t="s">
        <v>1126</v>
      </c>
      <c r="D1305" s="478" t="s">
        <v>1081</v>
      </c>
      <c r="E1305" s="474">
        <v>40582</v>
      </c>
      <c r="F1305" s="475" t="s">
        <v>446</v>
      </c>
      <c r="G1305" s="476">
        <v>175</v>
      </c>
      <c r="H1305" s="475" t="s">
        <v>1082</v>
      </c>
      <c r="I1305" s="478" t="s">
        <v>1501</v>
      </c>
      <c r="J1305" s="497">
        <v>0</v>
      </c>
    </row>
    <row r="1306" spans="1:10" ht="20.25" customHeight="1">
      <c r="A1306" s="471">
        <v>5691</v>
      </c>
      <c r="B1306" s="475" t="s">
        <v>445</v>
      </c>
      <c r="C1306" s="482" t="s">
        <v>1127</v>
      </c>
      <c r="D1306" s="478" t="s">
        <v>1081</v>
      </c>
      <c r="E1306" s="474">
        <v>40582</v>
      </c>
      <c r="F1306" s="475" t="s">
        <v>446</v>
      </c>
      <c r="G1306" s="476">
        <v>175</v>
      </c>
      <c r="H1306" s="475" t="s">
        <v>1082</v>
      </c>
      <c r="I1306" s="478" t="s">
        <v>1502</v>
      </c>
      <c r="J1306" s="497">
        <v>0</v>
      </c>
    </row>
    <row r="1307" spans="1:10" ht="20.25" customHeight="1">
      <c r="A1307" s="471">
        <v>5691</v>
      </c>
      <c r="B1307" s="475" t="s">
        <v>445</v>
      </c>
      <c r="C1307" s="494" t="s">
        <v>1128</v>
      </c>
      <c r="D1307" s="478" t="s">
        <v>1081</v>
      </c>
      <c r="E1307" s="474">
        <v>40582</v>
      </c>
      <c r="F1307" s="475" t="s">
        <v>446</v>
      </c>
      <c r="G1307" s="476">
        <v>175</v>
      </c>
      <c r="H1307" s="475" t="s">
        <v>1082</v>
      </c>
      <c r="I1307" s="478" t="s">
        <v>1502</v>
      </c>
      <c r="J1307" s="497">
        <v>0</v>
      </c>
    </row>
    <row r="1308" spans="1:10" ht="20.25" customHeight="1">
      <c r="A1308" s="471">
        <v>5691</v>
      </c>
      <c r="B1308" s="475" t="s">
        <v>445</v>
      </c>
      <c r="C1308" s="482" t="s">
        <v>1129</v>
      </c>
      <c r="D1308" s="478" t="s">
        <v>1081</v>
      </c>
      <c r="E1308" s="475">
        <v>40582</v>
      </c>
      <c r="F1308" s="475" t="s">
        <v>446</v>
      </c>
      <c r="G1308" s="476">
        <v>175</v>
      </c>
      <c r="H1308" s="475" t="s">
        <v>1082</v>
      </c>
      <c r="I1308" s="478" t="s">
        <v>1130</v>
      </c>
      <c r="J1308" s="503">
        <v>0</v>
      </c>
    </row>
    <row r="1309" spans="1:10" ht="20.25" customHeight="1">
      <c r="A1309" s="471">
        <v>5691</v>
      </c>
      <c r="B1309" s="475" t="s">
        <v>445</v>
      </c>
      <c r="C1309" s="482" t="s">
        <v>1131</v>
      </c>
      <c r="D1309" s="478" t="s">
        <v>1081</v>
      </c>
      <c r="E1309" s="474">
        <v>40582</v>
      </c>
      <c r="F1309" s="475" t="s">
        <v>446</v>
      </c>
      <c r="G1309" s="476">
        <v>175</v>
      </c>
      <c r="H1309" s="475" t="s">
        <v>1082</v>
      </c>
      <c r="I1309" s="478" t="s">
        <v>1502</v>
      </c>
      <c r="J1309" s="497">
        <v>0</v>
      </c>
    </row>
    <row r="1310" spans="1:10" ht="20.25" customHeight="1">
      <c r="A1310" s="471">
        <v>5691</v>
      </c>
      <c r="B1310" s="475" t="s">
        <v>445</v>
      </c>
      <c r="C1310" s="494" t="s">
        <v>1132</v>
      </c>
      <c r="D1310" s="478" t="s">
        <v>1081</v>
      </c>
      <c r="E1310" s="475">
        <v>40582</v>
      </c>
      <c r="F1310" s="475" t="s">
        <v>446</v>
      </c>
      <c r="G1310" s="476">
        <v>175</v>
      </c>
      <c r="H1310" s="475" t="s">
        <v>1082</v>
      </c>
      <c r="I1310" s="478" t="s">
        <v>1130</v>
      </c>
      <c r="J1310" s="503">
        <v>0</v>
      </c>
    </row>
    <row r="1311" spans="1:10" ht="20.25" customHeight="1">
      <c r="A1311" s="471">
        <v>5691</v>
      </c>
      <c r="B1311" s="475" t="s">
        <v>445</v>
      </c>
      <c r="C1311" s="482" t="s">
        <v>1133</v>
      </c>
      <c r="D1311" s="478" t="s">
        <v>1081</v>
      </c>
      <c r="E1311" s="475">
        <v>40582</v>
      </c>
      <c r="F1311" s="475" t="s">
        <v>446</v>
      </c>
      <c r="G1311" s="476">
        <v>175</v>
      </c>
      <c r="H1311" s="475" t="s">
        <v>1082</v>
      </c>
      <c r="I1311" s="478" t="s">
        <v>1130</v>
      </c>
      <c r="J1311" s="503">
        <v>0</v>
      </c>
    </row>
    <row r="1312" spans="1:10" ht="20.25" customHeight="1">
      <c r="A1312" s="471">
        <v>5691</v>
      </c>
      <c r="B1312" s="475" t="s">
        <v>445</v>
      </c>
      <c r="C1312" s="482" t="s">
        <v>1134</v>
      </c>
      <c r="D1312" s="478" t="s">
        <v>1081</v>
      </c>
      <c r="E1312" s="475">
        <v>40582</v>
      </c>
      <c r="F1312" s="475" t="s">
        <v>468</v>
      </c>
      <c r="G1312" s="476">
        <v>175</v>
      </c>
      <c r="H1312" s="475" t="s">
        <v>1082</v>
      </c>
      <c r="I1312" s="478" t="s">
        <v>1135</v>
      </c>
      <c r="J1312" s="503">
        <v>0</v>
      </c>
    </row>
    <row r="1313" spans="1:10" ht="20.25" customHeight="1">
      <c r="A1313" s="471">
        <v>5691</v>
      </c>
      <c r="B1313" s="475" t="s">
        <v>445</v>
      </c>
      <c r="C1313" s="494" t="s">
        <v>1136</v>
      </c>
      <c r="D1313" s="478" t="s">
        <v>1081</v>
      </c>
      <c r="E1313" s="475">
        <v>40582</v>
      </c>
      <c r="F1313" s="475" t="s">
        <v>468</v>
      </c>
      <c r="G1313" s="476">
        <v>175</v>
      </c>
      <c r="H1313" s="475" t="s">
        <v>1082</v>
      </c>
      <c r="I1313" s="478" t="s">
        <v>1135</v>
      </c>
      <c r="J1313" s="503">
        <v>0</v>
      </c>
    </row>
    <row r="1314" spans="1:10" ht="20.25" customHeight="1">
      <c r="A1314" s="471">
        <v>5691</v>
      </c>
      <c r="B1314" s="475" t="s">
        <v>445</v>
      </c>
      <c r="C1314" s="482" t="s">
        <v>1137</v>
      </c>
      <c r="D1314" s="478" t="s">
        <v>1081</v>
      </c>
      <c r="E1314" s="475">
        <v>40582</v>
      </c>
      <c r="F1314" s="475" t="s">
        <v>468</v>
      </c>
      <c r="G1314" s="476">
        <v>175</v>
      </c>
      <c r="H1314" s="475" t="s">
        <v>1082</v>
      </c>
      <c r="I1314" s="478" t="s">
        <v>1503</v>
      </c>
      <c r="J1314" s="503">
        <v>0</v>
      </c>
    </row>
    <row r="1315" spans="1:10" ht="20.25" customHeight="1">
      <c r="A1315" s="471">
        <v>5694</v>
      </c>
      <c r="B1315" s="475" t="s">
        <v>445</v>
      </c>
      <c r="C1315" s="482" t="s">
        <v>1138</v>
      </c>
      <c r="D1315" s="478">
        <v>524</v>
      </c>
      <c r="E1315" s="475">
        <v>41908</v>
      </c>
      <c r="F1315" s="475" t="s">
        <v>468</v>
      </c>
      <c r="G1315" s="476">
        <v>198</v>
      </c>
      <c r="H1315" s="475" t="s">
        <v>1139</v>
      </c>
      <c r="I1315" s="478" t="s">
        <v>1140</v>
      </c>
      <c r="J1315" s="503">
        <v>9738.25</v>
      </c>
    </row>
    <row r="1316" spans="1:10" ht="20.25" customHeight="1">
      <c r="A1316" s="471">
        <v>5694</v>
      </c>
      <c r="B1316" s="475" t="s">
        <v>445</v>
      </c>
      <c r="C1316" s="482" t="s">
        <v>1141</v>
      </c>
      <c r="D1316" s="478">
        <v>524</v>
      </c>
      <c r="E1316" s="475">
        <v>41908</v>
      </c>
      <c r="F1316" s="475" t="s">
        <v>468</v>
      </c>
      <c r="G1316" s="476">
        <v>198</v>
      </c>
      <c r="H1316" s="475" t="s">
        <v>1139</v>
      </c>
      <c r="I1316" s="478" t="s">
        <v>1142</v>
      </c>
      <c r="J1316" s="503">
        <f>432*1.16</f>
        <v>501.11999999999995</v>
      </c>
    </row>
    <row r="1317" spans="1:10" ht="20.25" customHeight="1">
      <c r="A1317" s="471">
        <v>5694</v>
      </c>
      <c r="B1317" s="475" t="s">
        <v>445</v>
      </c>
      <c r="C1317" s="482" t="s">
        <v>1143</v>
      </c>
      <c r="D1317" s="478" t="s">
        <v>1144</v>
      </c>
      <c r="E1317" s="475">
        <v>41918</v>
      </c>
      <c r="F1317" s="475" t="s">
        <v>468</v>
      </c>
      <c r="G1317" s="476">
        <v>198</v>
      </c>
      <c r="H1317" s="475" t="s">
        <v>1139</v>
      </c>
      <c r="I1317" s="478" t="s">
        <v>1145</v>
      </c>
      <c r="J1317" s="503">
        <f>54675*1.16</f>
        <v>63422.999999999993</v>
      </c>
    </row>
    <row r="1318" spans="1:10" ht="20.25" customHeight="1">
      <c r="A1318" s="471">
        <v>5694</v>
      </c>
      <c r="B1318" s="475" t="s">
        <v>445</v>
      </c>
      <c r="C1318" s="482" t="s">
        <v>1146</v>
      </c>
      <c r="D1318" s="478">
        <v>797</v>
      </c>
      <c r="E1318" s="475">
        <v>41926</v>
      </c>
      <c r="F1318" s="475" t="s">
        <v>468</v>
      </c>
      <c r="G1318" s="476">
        <v>198</v>
      </c>
      <c r="H1318" s="475" t="s">
        <v>1139</v>
      </c>
      <c r="I1318" s="478" t="s">
        <v>1147</v>
      </c>
      <c r="J1318" s="503">
        <f>48900*1.16</f>
        <v>56723.999999999993</v>
      </c>
    </row>
    <row r="1319" spans="1:10" ht="20.25" customHeight="1">
      <c r="A1319" s="471">
        <v>5694</v>
      </c>
      <c r="B1319" s="475" t="s">
        <v>445</v>
      </c>
      <c r="C1319" s="482" t="s">
        <v>1148</v>
      </c>
      <c r="D1319" s="478" t="s">
        <v>1149</v>
      </c>
      <c r="E1319" s="474">
        <v>41954</v>
      </c>
      <c r="F1319" s="475" t="s">
        <v>468</v>
      </c>
      <c r="G1319" s="476">
        <v>198</v>
      </c>
      <c r="H1319" s="475" t="s">
        <v>1139</v>
      </c>
      <c r="I1319" s="478" t="s">
        <v>1150</v>
      </c>
      <c r="J1319" s="503">
        <f>4296*1.16</f>
        <v>4983.3599999999997</v>
      </c>
    </row>
    <row r="1320" spans="1:10" ht="20.25" customHeight="1">
      <c r="A1320" s="471">
        <v>5694</v>
      </c>
      <c r="B1320" s="475" t="s">
        <v>445</v>
      </c>
      <c r="C1320" s="482" t="s">
        <v>1151</v>
      </c>
      <c r="D1320" s="478" t="s">
        <v>1149</v>
      </c>
      <c r="E1320" s="474">
        <v>41954</v>
      </c>
      <c r="F1320" s="475" t="s">
        <v>468</v>
      </c>
      <c r="G1320" s="476">
        <v>198</v>
      </c>
      <c r="H1320" s="475" t="s">
        <v>1139</v>
      </c>
      <c r="I1320" s="478" t="s">
        <v>1152</v>
      </c>
      <c r="J1320" s="503">
        <f>21800*1.16</f>
        <v>25288</v>
      </c>
    </row>
    <row r="1321" spans="1:10" ht="20.25" customHeight="1">
      <c r="A1321" s="471">
        <v>5911</v>
      </c>
      <c r="B1321" s="472" t="s">
        <v>445</v>
      </c>
      <c r="C1321" s="473">
        <v>1</v>
      </c>
      <c r="D1321" s="471">
        <v>348</v>
      </c>
      <c r="E1321" s="474">
        <v>38734</v>
      </c>
      <c r="F1321" s="475" t="s">
        <v>468</v>
      </c>
      <c r="G1321" s="476">
        <v>208</v>
      </c>
      <c r="H1321" s="475" t="s">
        <v>1153</v>
      </c>
      <c r="I1321" s="478" t="s">
        <v>1154</v>
      </c>
      <c r="J1321" s="496">
        <v>4432</v>
      </c>
    </row>
    <row r="1322" spans="1:10" ht="20.25" customHeight="1">
      <c r="A1322" s="471">
        <v>5911</v>
      </c>
      <c r="B1322" s="474" t="s">
        <v>445</v>
      </c>
      <c r="C1322" s="473">
        <v>2</v>
      </c>
      <c r="D1322" s="471">
        <v>28195</v>
      </c>
      <c r="E1322" s="474">
        <v>39059</v>
      </c>
      <c r="F1322" s="475" t="s">
        <v>468</v>
      </c>
      <c r="G1322" s="476">
        <v>205</v>
      </c>
      <c r="H1322" s="475" t="s">
        <v>1155</v>
      </c>
      <c r="I1322" s="478" t="s">
        <v>1156</v>
      </c>
      <c r="J1322" s="497">
        <v>26215.63</v>
      </c>
    </row>
    <row r="1323" spans="1:10" ht="20.25" customHeight="1">
      <c r="A1323" s="471">
        <v>5911</v>
      </c>
      <c r="B1323" s="474" t="s">
        <v>445</v>
      </c>
      <c r="C1323" s="473">
        <v>3</v>
      </c>
      <c r="D1323" s="471">
        <v>28195</v>
      </c>
      <c r="E1323" s="474">
        <v>39059</v>
      </c>
      <c r="F1323" s="475" t="s">
        <v>468</v>
      </c>
      <c r="G1323" s="476">
        <v>205</v>
      </c>
      <c r="H1323" s="475" t="s">
        <v>1155</v>
      </c>
      <c r="I1323" s="478" t="s">
        <v>1156</v>
      </c>
      <c r="J1323" s="497">
        <v>26215.63</v>
      </c>
    </row>
    <row r="1324" spans="1:10" ht="20.25" customHeight="1">
      <c r="A1324" s="471">
        <v>5911</v>
      </c>
      <c r="B1324" s="474" t="s">
        <v>445</v>
      </c>
      <c r="C1324" s="473">
        <v>4</v>
      </c>
      <c r="D1324" s="471">
        <v>28195</v>
      </c>
      <c r="E1324" s="474">
        <v>39059</v>
      </c>
      <c r="F1324" s="475" t="s">
        <v>468</v>
      </c>
      <c r="G1324" s="476">
        <v>205</v>
      </c>
      <c r="H1324" s="475" t="s">
        <v>1155</v>
      </c>
      <c r="I1324" s="478" t="s">
        <v>1156</v>
      </c>
      <c r="J1324" s="497">
        <v>26215.63</v>
      </c>
    </row>
    <row r="1325" spans="1:10" ht="20.25" customHeight="1">
      <c r="A1325" s="471">
        <v>5911</v>
      </c>
      <c r="B1325" s="474" t="s">
        <v>445</v>
      </c>
      <c r="C1325" s="473">
        <v>5</v>
      </c>
      <c r="D1325" s="471">
        <v>28195</v>
      </c>
      <c r="E1325" s="474">
        <v>39059</v>
      </c>
      <c r="F1325" s="475" t="s">
        <v>468</v>
      </c>
      <c r="G1325" s="476">
        <v>205</v>
      </c>
      <c r="H1325" s="475" t="s">
        <v>1155</v>
      </c>
      <c r="I1325" s="478" t="s">
        <v>1156</v>
      </c>
      <c r="J1325" s="497">
        <v>26215.63</v>
      </c>
    </row>
    <row r="1326" spans="1:10" ht="20.25" customHeight="1">
      <c r="A1326" s="471">
        <v>5911</v>
      </c>
      <c r="B1326" s="474" t="s">
        <v>445</v>
      </c>
      <c r="C1326" s="473">
        <v>6</v>
      </c>
      <c r="D1326" s="471">
        <v>28195</v>
      </c>
      <c r="E1326" s="474">
        <v>39059</v>
      </c>
      <c r="F1326" s="475" t="s">
        <v>468</v>
      </c>
      <c r="G1326" s="476">
        <v>205</v>
      </c>
      <c r="H1326" s="475" t="s">
        <v>1155</v>
      </c>
      <c r="I1326" s="478" t="s">
        <v>1156</v>
      </c>
      <c r="J1326" s="497">
        <v>26215.63</v>
      </c>
    </row>
    <row r="1327" spans="1:10" ht="20.25" customHeight="1">
      <c r="A1327" s="471">
        <v>5911</v>
      </c>
      <c r="B1327" s="474" t="s">
        <v>445</v>
      </c>
      <c r="C1327" s="473">
        <v>7</v>
      </c>
      <c r="D1327" s="471">
        <v>404</v>
      </c>
      <c r="E1327" s="474">
        <v>39240</v>
      </c>
      <c r="F1327" s="475" t="s">
        <v>468</v>
      </c>
      <c r="G1327" s="476">
        <v>203</v>
      </c>
      <c r="H1327" s="475" t="s">
        <v>1157</v>
      </c>
      <c r="I1327" s="478" t="s">
        <v>1158</v>
      </c>
      <c r="J1327" s="497">
        <v>8791.75</v>
      </c>
    </row>
    <row r="1328" spans="1:10" ht="20.25" customHeight="1">
      <c r="A1328" s="471">
        <v>5911</v>
      </c>
      <c r="B1328" s="474" t="s">
        <v>445</v>
      </c>
      <c r="C1328" s="473">
        <v>8</v>
      </c>
      <c r="D1328" s="471">
        <v>404</v>
      </c>
      <c r="E1328" s="474">
        <v>39240</v>
      </c>
      <c r="F1328" s="475" t="s">
        <v>468</v>
      </c>
      <c r="G1328" s="476">
        <v>203</v>
      </c>
      <c r="H1328" s="475" t="s">
        <v>1157</v>
      </c>
      <c r="I1328" s="478" t="s">
        <v>1158</v>
      </c>
      <c r="J1328" s="497">
        <v>8791.75</v>
      </c>
    </row>
    <row r="1329" spans="1:10" ht="20.25" customHeight="1">
      <c r="A1329" s="471">
        <v>5911</v>
      </c>
      <c r="B1329" s="474" t="s">
        <v>445</v>
      </c>
      <c r="C1329" s="473">
        <v>9</v>
      </c>
      <c r="D1329" s="471">
        <v>404</v>
      </c>
      <c r="E1329" s="474">
        <v>39240</v>
      </c>
      <c r="F1329" s="475" t="s">
        <v>468</v>
      </c>
      <c r="G1329" s="476">
        <v>203</v>
      </c>
      <c r="H1329" s="475" t="s">
        <v>1157</v>
      </c>
      <c r="I1329" s="478" t="s">
        <v>1158</v>
      </c>
      <c r="J1329" s="497">
        <v>8791.75</v>
      </c>
    </row>
    <row r="1330" spans="1:10" ht="20.25" customHeight="1">
      <c r="A1330" s="471">
        <v>5911</v>
      </c>
      <c r="B1330" s="474" t="s">
        <v>445</v>
      </c>
      <c r="C1330" s="473">
        <v>10</v>
      </c>
      <c r="D1330" s="471">
        <v>404</v>
      </c>
      <c r="E1330" s="474">
        <v>39240</v>
      </c>
      <c r="F1330" s="475" t="s">
        <v>468</v>
      </c>
      <c r="G1330" s="476">
        <v>203</v>
      </c>
      <c r="H1330" s="475" t="s">
        <v>1157</v>
      </c>
      <c r="I1330" s="478" t="s">
        <v>1158</v>
      </c>
      <c r="J1330" s="497">
        <v>8791.75</v>
      </c>
    </row>
    <row r="1331" spans="1:10" ht="20.25" customHeight="1">
      <c r="A1331" s="471">
        <v>5911</v>
      </c>
      <c r="B1331" s="474" t="s">
        <v>445</v>
      </c>
      <c r="C1331" s="473">
        <v>11</v>
      </c>
      <c r="D1331" s="471">
        <v>404</v>
      </c>
      <c r="E1331" s="474">
        <v>39240</v>
      </c>
      <c r="F1331" s="475" t="s">
        <v>468</v>
      </c>
      <c r="G1331" s="476">
        <v>203</v>
      </c>
      <c r="H1331" s="475" t="s">
        <v>1157</v>
      </c>
      <c r="I1331" s="478" t="s">
        <v>1158</v>
      </c>
      <c r="J1331" s="497">
        <v>8791.75</v>
      </c>
    </row>
    <row r="1332" spans="1:10" ht="20.25" customHeight="1">
      <c r="A1332" s="471">
        <v>5911</v>
      </c>
      <c r="B1332" s="474" t="s">
        <v>445</v>
      </c>
      <c r="C1332" s="473">
        <v>12</v>
      </c>
      <c r="D1332" s="471">
        <v>404</v>
      </c>
      <c r="E1332" s="474">
        <v>39240</v>
      </c>
      <c r="F1332" s="475" t="s">
        <v>468</v>
      </c>
      <c r="G1332" s="476">
        <v>203</v>
      </c>
      <c r="H1332" s="475" t="s">
        <v>1157</v>
      </c>
      <c r="I1332" s="478" t="s">
        <v>1158</v>
      </c>
      <c r="J1332" s="497">
        <v>8791.75</v>
      </c>
    </row>
    <row r="1333" spans="1:10" ht="20.25" customHeight="1">
      <c r="A1333" s="471">
        <v>5911</v>
      </c>
      <c r="B1333" s="474" t="s">
        <v>445</v>
      </c>
      <c r="C1333" s="473">
        <v>13</v>
      </c>
      <c r="D1333" s="471">
        <v>404</v>
      </c>
      <c r="E1333" s="474">
        <v>39240</v>
      </c>
      <c r="F1333" s="475" t="s">
        <v>468</v>
      </c>
      <c r="G1333" s="476">
        <v>203</v>
      </c>
      <c r="H1333" s="475" t="s">
        <v>1157</v>
      </c>
      <c r="I1333" s="478" t="s">
        <v>1158</v>
      </c>
      <c r="J1333" s="497">
        <v>8791.75</v>
      </c>
    </row>
    <row r="1334" spans="1:10" ht="20.25" customHeight="1">
      <c r="A1334" s="471">
        <v>5911</v>
      </c>
      <c r="B1334" s="474" t="s">
        <v>445</v>
      </c>
      <c r="C1334" s="473">
        <v>14</v>
      </c>
      <c r="D1334" s="471">
        <v>404</v>
      </c>
      <c r="E1334" s="474">
        <v>39240</v>
      </c>
      <c r="F1334" s="475" t="s">
        <v>468</v>
      </c>
      <c r="G1334" s="476">
        <v>203</v>
      </c>
      <c r="H1334" s="475" t="s">
        <v>1157</v>
      </c>
      <c r="I1334" s="478" t="s">
        <v>1158</v>
      </c>
      <c r="J1334" s="497">
        <v>8791.75</v>
      </c>
    </row>
    <row r="1335" spans="1:10" ht="20.25" customHeight="1">
      <c r="A1335" s="471">
        <v>5911</v>
      </c>
      <c r="B1335" s="474" t="s">
        <v>445</v>
      </c>
      <c r="C1335" s="473">
        <v>15</v>
      </c>
      <c r="D1335" s="471">
        <v>404</v>
      </c>
      <c r="E1335" s="474">
        <v>39240</v>
      </c>
      <c r="F1335" s="475" t="s">
        <v>468</v>
      </c>
      <c r="G1335" s="476">
        <v>203</v>
      </c>
      <c r="H1335" s="475" t="s">
        <v>1157</v>
      </c>
      <c r="I1335" s="478" t="s">
        <v>1158</v>
      </c>
      <c r="J1335" s="497">
        <v>8791.75</v>
      </c>
    </row>
    <row r="1336" spans="1:10" ht="20.25" customHeight="1">
      <c r="A1336" s="471">
        <v>5911</v>
      </c>
      <c r="B1336" s="474" t="s">
        <v>445</v>
      </c>
      <c r="C1336" s="473">
        <v>16</v>
      </c>
      <c r="D1336" s="471">
        <v>404</v>
      </c>
      <c r="E1336" s="474">
        <v>39240</v>
      </c>
      <c r="F1336" s="475" t="s">
        <v>468</v>
      </c>
      <c r="G1336" s="476">
        <v>203</v>
      </c>
      <c r="H1336" s="475" t="s">
        <v>1157</v>
      </c>
      <c r="I1336" s="478" t="s">
        <v>1158</v>
      </c>
      <c r="J1336" s="497">
        <v>8791.75</v>
      </c>
    </row>
    <row r="1337" spans="1:10" ht="20.25" customHeight="1">
      <c r="A1337" s="471">
        <v>5911</v>
      </c>
      <c r="B1337" s="472" t="s">
        <v>445</v>
      </c>
      <c r="C1337" s="473">
        <v>17</v>
      </c>
      <c r="D1337" s="471">
        <v>1947</v>
      </c>
      <c r="E1337" s="474">
        <v>39562</v>
      </c>
      <c r="F1337" s="475" t="s">
        <v>468</v>
      </c>
      <c r="G1337" s="476">
        <v>199</v>
      </c>
      <c r="H1337" s="475" t="s">
        <v>1159</v>
      </c>
      <c r="I1337" s="478" t="s">
        <v>1160</v>
      </c>
      <c r="J1337" s="496">
        <v>7475</v>
      </c>
    </row>
    <row r="1338" spans="1:10" ht="20.25" customHeight="1">
      <c r="A1338" s="471">
        <v>5911</v>
      </c>
      <c r="B1338" s="472" t="s">
        <v>445</v>
      </c>
      <c r="C1338" s="473">
        <v>18</v>
      </c>
      <c r="D1338" s="471" t="s">
        <v>1161</v>
      </c>
      <c r="E1338" s="474">
        <v>39800</v>
      </c>
      <c r="F1338" s="475" t="s">
        <v>468</v>
      </c>
      <c r="G1338" s="476">
        <v>200</v>
      </c>
      <c r="H1338" s="475" t="s">
        <v>1162</v>
      </c>
      <c r="I1338" s="478" t="s">
        <v>1163</v>
      </c>
      <c r="J1338" s="496">
        <v>15000</v>
      </c>
    </row>
    <row r="1339" spans="1:10" ht="20.25" customHeight="1">
      <c r="A1339" s="471">
        <v>5911</v>
      </c>
      <c r="B1339" s="472" t="s">
        <v>445</v>
      </c>
      <c r="C1339" s="473">
        <v>19</v>
      </c>
      <c r="D1339" s="471">
        <v>25</v>
      </c>
      <c r="E1339" s="472">
        <v>40028</v>
      </c>
      <c r="F1339" s="475" t="s">
        <v>468</v>
      </c>
      <c r="G1339" s="476">
        <v>209</v>
      </c>
      <c r="H1339" s="475" t="s">
        <v>1164</v>
      </c>
      <c r="I1339" s="498" t="s">
        <v>1165</v>
      </c>
      <c r="J1339" s="499">
        <v>6900</v>
      </c>
    </row>
    <row r="1340" spans="1:10" ht="20.25" customHeight="1">
      <c r="A1340" s="471">
        <v>5911</v>
      </c>
      <c r="B1340" s="472" t="s">
        <v>445</v>
      </c>
      <c r="C1340" s="473">
        <v>20</v>
      </c>
      <c r="D1340" s="471" t="s">
        <v>1166</v>
      </c>
      <c r="E1340" s="472">
        <v>40078</v>
      </c>
      <c r="F1340" s="475" t="s">
        <v>468</v>
      </c>
      <c r="G1340" s="476">
        <v>202</v>
      </c>
      <c r="H1340" s="475" t="s">
        <v>1167</v>
      </c>
      <c r="I1340" s="498" t="s">
        <v>1168</v>
      </c>
      <c r="J1340" s="499">
        <v>9200</v>
      </c>
    </row>
    <row r="1341" spans="1:10" ht="20.25" customHeight="1">
      <c r="A1341" s="471">
        <v>5911</v>
      </c>
      <c r="B1341" s="472" t="s">
        <v>445</v>
      </c>
      <c r="C1341" s="473">
        <v>21</v>
      </c>
      <c r="D1341" s="471">
        <v>361</v>
      </c>
      <c r="E1341" s="474">
        <v>41022</v>
      </c>
      <c r="F1341" s="475" t="s">
        <v>468</v>
      </c>
      <c r="G1341" s="476">
        <v>204</v>
      </c>
      <c r="H1341" s="475" t="s">
        <v>1169</v>
      </c>
      <c r="I1341" s="478" t="s">
        <v>1170</v>
      </c>
      <c r="J1341" s="496">
        <f>15000*1.16</f>
        <v>17400</v>
      </c>
    </row>
    <row r="1342" spans="1:10" ht="20.25" customHeight="1">
      <c r="A1342" s="471">
        <v>5911</v>
      </c>
      <c r="B1342" s="472" t="s">
        <v>445</v>
      </c>
      <c r="C1342" s="473">
        <v>22</v>
      </c>
      <c r="D1342" s="471">
        <v>204</v>
      </c>
      <c r="E1342" s="474">
        <v>41250</v>
      </c>
      <c r="F1342" s="475" t="s">
        <v>468</v>
      </c>
      <c r="G1342" s="476">
        <v>204</v>
      </c>
      <c r="H1342" s="475" t="s">
        <v>1169</v>
      </c>
      <c r="I1342" s="478" t="s">
        <v>1171</v>
      </c>
      <c r="J1342" s="496">
        <v>126440</v>
      </c>
    </row>
    <row r="1343" spans="1:10" ht="20.25" customHeight="1">
      <c r="A1343" s="471">
        <v>5911</v>
      </c>
      <c r="B1343" s="477" t="s">
        <v>445</v>
      </c>
      <c r="C1343" s="473">
        <v>23</v>
      </c>
      <c r="D1343" s="478">
        <v>2652</v>
      </c>
      <c r="E1343" s="475">
        <v>41324</v>
      </c>
      <c r="F1343" s="475" t="s">
        <v>468</v>
      </c>
      <c r="G1343" s="476">
        <v>204</v>
      </c>
      <c r="H1343" s="475" t="s">
        <v>1169</v>
      </c>
      <c r="I1343" s="478" t="s">
        <v>1172</v>
      </c>
      <c r="J1343" s="502">
        <v>6378.84</v>
      </c>
    </row>
    <row r="1344" spans="1:10" ht="20.25" customHeight="1">
      <c r="A1344" s="471">
        <v>5911</v>
      </c>
      <c r="B1344" s="472" t="s">
        <v>445</v>
      </c>
      <c r="C1344" s="473">
        <v>24</v>
      </c>
      <c r="D1344" s="471">
        <v>2646</v>
      </c>
      <c r="E1344" s="474">
        <v>41636</v>
      </c>
      <c r="F1344" s="475" t="s">
        <v>468</v>
      </c>
      <c r="G1344" s="476">
        <v>204</v>
      </c>
      <c r="H1344" s="475" t="s">
        <v>1169</v>
      </c>
      <c r="I1344" s="478" t="s">
        <v>1173</v>
      </c>
      <c r="J1344" s="497">
        <v>6136.4</v>
      </c>
    </row>
    <row r="1345" spans="1:10" ht="20.25" customHeight="1">
      <c r="A1345" s="471">
        <v>5911</v>
      </c>
      <c r="B1345" s="472" t="s">
        <v>445</v>
      </c>
      <c r="C1345" s="473">
        <v>25</v>
      </c>
      <c r="D1345" s="471" t="s">
        <v>1174</v>
      </c>
      <c r="E1345" s="474">
        <v>41856</v>
      </c>
      <c r="F1345" s="475" t="s">
        <v>468</v>
      </c>
      <c r="G1345" s="476">
        <v>204</v>
      </c>
      <c r="H1345" s="475" t="s">
        <v>1169</v>
      </c>
      <c r="I1345" s="478" t="s">
        <v>1175</v>
      </c>
      <c r="J1345" s="497">
        <f>35700*1.16</f>
        <v>41412</v>
      </c>
    </row>
    <row r="1346" spans="1:10" ht="20.25" customHeight="1">
      <c r="A1346" s="471">
        <v>5911</v>
      </c>
      <c r="B1346" s="475" t="s">
        <v>445</v>
      </c>
      <c r="C1346" s="482" t="s">
        <v>1176</v>
      </c>
      <c r="D1346" s="478" t="s">
        <v>1177</v>
      </c>
      <c r="E1346" s="475">
        <v>41928</v>
      </c>
      <c r="F1346" s="475" t="s">
        <v>446</v>
      </c>
      <c r="G1346" s="476">
        <v>204</v>
      </c>
      <c r="H1346" s="475" t="s">
        <v>1169</v>
      </c>
      <c r="I1346" s="478" t="s">
        <v>1178</v>
      </c>
      <c r="J1346" s="503">
        <v>30000</v>
      </c>
    </row>
    <row r="1347" spans="1:10" ht="20.25" customHeight="1">
      <c r="A1347" s="484">
        <v>5911</v>
      </c>
      <c r="B1347" s="488" t="s">
        <v>445</v>
      </c>
      <c r="C1347" s="486">
        <v>27</v>
      </c>
      <c r="D1347" s="487">
        <v>3846</v>
      </c>
      <c r="E1347" s="488">
        <v>42111</v>
      </c>
      <c r="F1347" s="488" t="s">
        <v>468</v>
      </c>
      <c r="G1347" s="476">
        <v>204</v>
      </c>
      <c r="H1347" s="475" t="s">
        <v>1169</v>
      </c>
      <c r="I1347" s="507" t="s">
        <v>1179</v>
      </c>
      <c r="J1347" s="504">
        <v>3816.4</v>
      </c>
    </row>
    <row r="1348" spans="1:10" ht="20.25" customHeight="1">
      <c r="A1348" s="471">
        <v>5971</v>
      </c>
      <c r="B1348" s="474" t="s">
        <v>445</v>
      </c>
      <c r="C1348" s="473">
        <v>1</v>
      </c>
      <c r="D1348" s="471">
        <v>28556</v>
      </c>
      <c r="E1348" s="474">
        <v>39059</v>
      </c>
      <c r="F1348" s="475" t="s">
        <v>468</v>
      </c>
      <c r="G1348" s="476">
        <v>206</v>
      </c>
      <c r="H1348" s="475" t="s">
        <v>1180</v>
      </c>
      <c r="I1348" s="478" t="s">
        <v>1181</v>
      </c>
      <c r="J1348" s="497">
        <v>7223.3</v>
      </c>
    </row>
    <row r="1349" spans="1:10" ht="20.25" customHeight="1">
      <c r="A1349" s="471">
        <v>5971</v>
      </c>
      <c r="B1349" s="474" t="s">
        <v>445</v>
      </c>
      <c r="C1349" s="473">
        <v>2</v>
      </c>
      <c r="D1349" s="471">
        <v>144</v>
      </c>
      <c r="E1349" s="474">
        <v>39125</v>
      </c>
      <c r="F1349" s="475" t="s">
        <v>468</v>
      </c>
      <c r="G1349" s="476">
        <v>207</v>
      </c>
      <c r="H1349" s="475" t="s">
        <v>1182</v>
      </c>
      <c r="I1349" s="478" t="s">
        <v>1183</v>
      </c>
      <c r="J1349" s="497">
        <v>48875</v>
      </c>
    </row>
    <row r="1350" spans="1:10" ht="20.25" customHeight="1">
      <c r="A1350" s="471">
        <v>5971</v>
      </c>
      <c r="B1350" s="477" t="s">
        <v>445</v>
      </c>
      <c r="C1350" s="473">
        <v>3</v>
      </c>
      <c r="D1350" s="478">
        <v>291</v>
      </c>
      <c r="E1350" s="477">
        <v>40030</v>
      </c>
      <c r="F1350" s="475" t="s">
        <v>468</v>
      </c>
      <c r="G1350" s="476">
        <v>210</v>
      </c>
      <c r="H1350" s="475" t="s">
        <v>1184</v>
      </c>
      <c r="I1350" s="498" t="s">
        <v>1185</v>
      </c>
      <c r="J1350" s="501">
        <v>87572.5</v>
      </c>
    </row>
    <row r="1351" spans="1:10" ht="20.25" customHeight="1">
      <c r="A1351" s="471">
        <v>5971</v>
      </c>
      <c r="B1351" s="477" t="s">
        <v>445</v>
      </c>
      <c r="C1351" s="473">
        <v>4</v>
      </c>
      <c r="D1351" s="478">
        <v>291</v>
      </c>
      <c r="E1351" s="477">
        <v>40030</v>
      </c>
      <c r="F1351" s="475" t="s">
        <v>468</v>
      </c>
      <c r="G1351" s="476">
        <v>211</v>
      </c>
      <c r="H1351" s="475" t="s">
        <v>1186</v>
      </c>
      <c r="I1351" s="498" t="s">
        <v>1187</v>
      </c>
      <c r="J1351" s="501">
        <v>55947.5</v>
      </c>
    </row>
    <row r="1352" spans="1:10" ht="20.25" customHeight="1">
      <c r="A1352" s="471">
        <v>5971</v>
      </c>
      <c r="B1352" s="477" t="s">
        <v>445</v>
      </c>
      <c r="C1352" s="473">
        <v>5</v>
      </c>
      <c r="D1352" s="478">
        <v>291</v>
      </c>
      <c r="E1352" s="477">
        <v>40030</v>
      </c>
      <c r="F1352" s="475" t="s">
        <v>468</v>
      </c>
      <c r="G1352" s="476">
        <v>212</v>
      </c>
      <c r="H1352" s="475" t="s">
        <v>1188</v>
      </c>
      <c r="I1352" s="498" t="s">
        <v>1189</v>
      </c>
      <c r="J1352" s="501">
        <v>36167.5</v>
      </c>
    </row>
    <row r="1353" spans="1:10" ht="20.25" customHeight="1">
      <c r="A1353" s="471">
        <v>5971</v>
      </c>
      <c r="B1353" s="472" t="s">
        <v>445</v>
      </c>
      <c r="C1353" s="473">
        <v>6</v>
      </c>
      <c r="D1353" s="471">
        <v>3479</v>
      </c>
      <c r="E1353" s="472">
        <v>40039</v>
      </c>
      <c r="F1353" s="475" t="s">
        <v>468</v>
      </c>
      <c r="G1353" s="476">
        <v>201</v>
      </c>
      <c r="H1353" s="475" t="s">
        <v>1190</v>
      </c>
      <c r="I1353" s="498" t="s">
        <v>1191</v>
      </c>
      <c r="J1353" s="499">
        <v>178106.25</v>
      </c>
    </row>
    <row r="1354" spans="1:10" ht="20.25" customHeight="1">
      <c r="A1354" s="471">
        <v>5971</v>
      </c>
      <c r="B1354" s="477" t="s">
        <v>445</v>
      </c>
      <c r="C1354" s="473">
        <v>8</v>
      </c>
      <c r="D1354" s="478">
        <v>6873</v>
      </c>
      <c r="E1354" s="477">
        <v>40893</v>
      </c>
      <c r="F1354" s="475" t="s">
        <v>468</v>
      </c>
      <c r="G1354" s="476">
        <v>213</v>
      </c>
      <c r="H1354" s="475" t="s">
        <v>1192</v>
      </c>
      <c r="I1354" s="498" t="s">
        <v>1193</v>
      </c>
      <c r="J1354" s="502">
        <f xml:space="preserve"> (780.39*47)*1.16</f>
        <v>42546.862800000003</v>
      </c>
    </row>
    <row r="1355" spans="1:10" ht="20.25" customHeight="1">
      <c r="A1355" s="471">
        <v>5971</v>
      </c>
      <c r="B1355" s="472" t="s">
        <v>445</v>
      </c>
      <c r="C1355" s="473">
        <v>7</v>
      </c>
      <c r="D1355" s="478">
        <v>6873</v>
      </c>
      <c r="E1355" s="472">
        <v>40893</v>
      </c>
      <c r="F1355" s="475" t="s">
        <v>468</v>
      </c>
      <c r="G1355" s="476">
        <v>214</v>
      </c>
      <c r="H1355" s="475" t="s">
        <v>1194</v>
      </c>
      <c r="I1355" s="498" t="s">
        <v>1195</v>
      </c>
      <c r="J1355" s="496">
        <f>(23.42*47)*1.16</f>
        <v>1276.8583999999998</v>
      </c>
    </row>
    <row r="1356" spans="1:10" ht="20.25" customHeight="1">
      <c r="A1356" s="471">
        <v>5971</v>
      </c>
      <c r="B1356" s="477" t="s">
        <v>445</v>
      </c>
      <c r="C1356" s="473">
        <v>9</v>
      </c>
      <c r="D1356" s="478">
        <v>6873</v>
      </c>
      <c r="E1356" s="477">
        <v>40893</v>
      </c>
      <c r="F1356" s="475" t="s">
        <v>468</v>
      </c>
      <c r="G1356" s="476">
        <v>215</v>
      </c>
      <c r="H1356" s="475" t="s">
        <v>1196</v>
      </c>
      <c r="I1356" s="498" t="s">
        <v>1197</v>
      </c>
      <c r="J1356" s="502">
        <f>(79.17*47)*1.16</f>
        <v>4316.3483999999999</v>
      </c>
    </row>
    <row r="1357" spans="1:10" ht="20.25" customHeight="1">
      <c r="A1357" s="471">
        <v>5971</v>
      </c>
      <c r="B1357" s="472" t="s">
        <v>445</v>
      </c>
      <c r="C1357" s="473">
        <v>10</v>
      </c>
      <c r="D1357" s="478">
        <v>6873</v>
      </c>
      <c r="E1357" s="472">
        <v>40893</v>
      </c>
      <c r="F1357" s="475" t="s">
        <v>468</v>
      </c>
      <c r="G1357" s="476">
        <v>216</v>
      </c>
      <c r="H1357" s="475" t="s">
        <v>1198</v>
      </c>
      <c r="I1357" s="498" t="s">
        <v>1199</v>
      </c>
      <c r="J1357" s="496">
        <f>(67.86*47)*1.16</f>
        <v>3699.7271999999998</v>
      </c>
    </row>
    <row r="1358" spans="1:10" ht="20.25" customHeight="1">
      <c r="A1358" s="471">
        <v>5971</v>
      </c>
      <c r="B1358" s="472" t="s">
        <v>445</v>
      </c>
      <c r="C1358" s="473">
        <v>11</v>
      </c>
      <c r="D1358" s="478" t="s">
        <v>1200</v>
      </c>
      <c r="E1358" s="472">
        <v>40893</v>
      </c>
      <c r="F1358" s="475" t="s">
        <v>468</v>
      </c>
      <c r="G1358" s="476">
        <v>217</v>
      </c>
      <c r="H1358" s="475" t="s">
        <v>1201</v>
      </c>
      <c r="I1358" s="498" t="s">
        <v>1202</v>
      </c>
      <c r="J1358" s="496">
        <v>10000</v>
      </c>
    </row>
    <row r="1359" spans="1:10" ht="20.25" customHeight="1">
      <c r="A1359" s="471">
        <v>5971</v>
      </c>
      <c r="B1359" s="472" t="s">
        <v>445</v>
      </c>
      <c r="C1359" s="473">
        <v>12</v>
      </c>
      <c r="D1359" s="471">
        <v>11226</v>
      </c>
      <c r="E1359" s="474">
        <v>41179</v>
      </c>
      <c r="F1359" s="475" t="s">
        <v>468</v>
      </c>
      <c r="G1359" s="476">
        <v>218</v>
      </c>
      <c r="H1359" s="475" t="s">
        <v>1203</v>
      </c>
      <c r="I1359" s="478" t="s">
        <v>1204</v>
      </c>
      <c r="J1359" s="496">
        <v>11136</v>
      </c>
    </row>
    <row r="1360" spans="1:10" ht="20.25" customHeight="1">
      <c r="A1360" s="471">
        <v>5971</v>
      </c>
      <c r="B1360" s="472" t="s">
        <v>445</v>
      </c>
      <c r="C1360" s="473">
        <v>13</v>
      </c>
      <c r="D1360" s="471">
        <v>9952</v>
      </c>
      <c r="E1360" s="474">
        <v>41227</v>
      </c>
      <c r="F1360" s="475" t="s">
        <v>468</v>
      </c>
      <c r="G1360" s="476">
        <v>218</v>
      </c>
      <c r="H1360" s="475" t="s">
        <v>1203</v>
      </c>
      <c r="I1360" s="478" t="s">
        <v>1205</v>
      </c>
      <c r="J1360" s="496">
        <v>64168.45</v>
      </c>
    </row>
    <row r="1361" spans="1:10" ht="20.25" customHeight="1">
      <c r="A1361" s="471">
        <v>5971</v>
      </c>
      <c r="B1361" s="472" t="s">
        <v>445</v>
      </c>
      <c r="C1361" s="473">
        <v>14</v>
      </c>
      <c r="D1361" s="471" t="s">
        <v>1206</v>
      </c>
      <c r="E1361" s="474">
        <v>41262</v>
      </c>
      <c r="F1361" s="475" t="s">
        <v>468</v>
      </c>
      <c r="G1361" s="476">
        <v>218</v>
      </c>
      <c r="H1361" s="475" t="s">
        <v>1203</v>
      </c>
      <c r="I1361" s="478" t="s">
        <v>1207</v>
      </c>
      <c r="J1361" s="496">
        <v>5000</v>
      </c>
    </row>
    <row r="1362" spans="1:10" ht="20.25" customHeight="1">
      <c r="A1362" s="471">
        <v>5971</v>
      </c>
      <c r="B1362" s="472" t="s">
        <v>445</v>
      </c>
      <c r="C1362" s="473">
        <v>15</v>
      </c>
      <c r="D1362" s="471">
        <v>17395</v>
      </c>
      <c r="E1362" s="474">
        <v>41576</v>
      </c>
      <c r="F1362" s="475" t="s">
        <v>468</v>
      </c>
      <c r="G1362" s="476">
        <v>218</v>
      </c>
      <c r="H1362" s="475" t="s">
        <v>1203</v>
      </c>
      <c r="I1362" s="478" t="s">
        <v>1208</v>
      </c>
      <c r="J1362" s="497">
        <v>9419.2000000000007</v>
      </c>
    </row>
    <row r="1363" spans="1:10" ht="20.25" customHeight="1">
      <c r="A1363" s="471">
        <v>5971</v>
      </c>
      <c r="B1363" s="472" t="s">
        <v>445</v>
      </c>
      <c r="C1363" s="473">
        <v>16</v>
      </c>
      <c r="D1363" s="471">
        <v>158</v>
      </c>
      <c r="E1363" s="474">
        <v>41627</v>
      </c>
      <c r="F1363" s="475" t="s">
        <v>468</v>
      </c>
      <c r="G1363" s="476">
        <v>218</v>
      </c>
      <c r="H1363" s="475" t="s">
        <v>1203</v>
      </c>
      <c r="I1363" s="478" t="s">
        <v>1209</v>
      </c>
      <c r="J1363" s="497">
        <v>94220.67</v>
      </c>
    </row>
    <row r="1364" spans="1:10" ht="20.25" customHeight="1">
      <c r="A1364" s="471">
        <v>5971</v>
      </c>
      <c r="B1364" s="472" t="s">
        <v>445</v>
      </c>
      <c r="C1364" s="473">
        <v>17</v>
      </c>
      <c r="D1364" s="478" t="s">
        <v>1210</v>
      </c>
      <c r="E1364" s="475">
        <v>41928</v>
      </c>
      <c r="F1364" s="475" t="s">
        <v>468</v>
      </c>
      <c r="G1364" s="476">
        <v>218</v>
      </c>
      <c r="H1364" s="475" t="s">
        <v>1203</v>
      </c>
      <c r="I1364" s="478" t="s">
        <v>1211</v>
      </c>
      <c r="J1364" s="503">
        <f>11600*1.16</f>
        <v>13455.999999999998</v>
      </c>
    </row>
    <row r="1365" spans="1:10" ht="20.25" customHeight="1">
      <c r="A1365" s="471">
        <v>5971</v>
      </c>
      <c r="B1365" s="474" t="s">
        <v>445</v>
      </c>
      <c r="C1365" s="473">
        <v>18</v>
      </c>
      <c r="D1365" s="471">
        <v>101786</v>
      </c>
      <c r="E1365" s="474">
        <v>41992</v>
      </c>
      <c r="F1365" s="475" t="s">
        <v>446</v>
      </c>
      <c r="G1365" s="476">
        <v>218</v>
      </c>
      <c r="H1365" s="475" t="s">
        <v>1203</v>
      </c>
      <c r="I1365" s="478" t="s">
        <v>1212</v>
      </c>
      <c r="J1365" s="497">
        <v>109193.98</v>
      </c>
    </row>
    <row r="1366" spans="1:10" ht="20.25" customHeight="1">
      <c r="A1366" s="471">
        <v>5971</v>
      </c>
      <c r="B1366" s="474" t="s">
        <v>445</v>
      </c>
      <c r="C1366" s="473">
        <v>19</v>
      </c>
      <c r="D1366" s="471" t="s">
        <v>1213</v>
      </c>
      <c r="E1366" s="474">
        <v>41992</v>
      </c>
      <c r="F1366" s="475" t="s">
        <v>468</v>
      </c>
      <c r="G1366" s="476">
        <v>218</v>
      </c>
      <c r="H1366" s="475" t="s">
        <v>1203</v>
      </c>
      <c r="I1366" s="478" t="s">
        <v>1214</v>
      </c>
      <c r="J1366" s="497">
        <v>125000</v>
      </c>
    </row>
    <row r="1367" spans="1:10" ht="20.25" customHeight="1">
      <c r="A1367" s="471">
        <v>5971</v>
      </c>
      <c r="B1367" s="474" t="s">
        <v>445</v>
      </c>
      <c r="C1367" s="473">
        <v>20</v>
      </c>
      <c r="D1367" s="478" t="s">
        <v>1215</v>
      </c>
      <c r="E1367" s="474">
        <v>42353</v>
      </c>
      <c r="F1367" s="475" t="s">
        <v>468</v>
      </c>
      <c r="G1367" s="476">
        <v>218</v>
      </c>
      <c r="H1367" s="475" t="s">
        <v>1203</v>
      </c>
      <c r="I1367" s="508" t="s">
        <v>1216</v>
      </c>
      <c r="J1367" s="497">
        <v>20044.8</v>
      </c>
    </row>
    <row r="1368" spans="1:10" ht="20.25" customHeight="1">
      <c r="A1368" s="471">
        <v>5111</v>
      </c>
      <c r="B1368" s="474" t="s">
        <v>1217</v>
      </c>
      <c r="C1368" s="473">
        <v>24</v>
      </c>
      <c r="D1368" s="478">
        <v>62902</v>
      </c>
      <c r="E1368" s="474">
        <v>38848</v>
      </c>
      <c r="F1368" s="475" t="s">
        <v>446</v>
      </c>
      <c r="G1368" s="476">
        <v>1</v>
      </c>
      <c r="H1368" s="475" t="s">
        <v>1218</v>
      </c>
      <c r="I1368" s="487" t="s">
        <v>1219</v>
      </c>
      <c r="J1368" s="509">
        <v>1897.5</v>
      </c>
    </row>
    <row r="1369" spans="1:10" ht="20.25" customHeight="1">
      <c r="A1369" s="471">
        <v>5111</v>
      </c>
      <c r="B1369" s="474" t="s">
        <v>1217</v>
      </c>
      <c r="C1369" s="473">
        <v>25</v>
      </c>
      <c r="D1369" s="478">
        <v>62902</v>
      </c>
      <c r="E1369" s="474">
        <v>38848</v>
      </c>
      <c r="F1369" s="475" t="s">
        <v>446</v>
      </c>
      <c r="G1369" s="476">
        <v>1</v>
      </c>
      <c r="H1369" s="475" t="s">
        <v>1218</v>
      </c>
      <c r="I1369" s="487" t="s">
        <v>1219</v>
      </c>
      <c r="J1369" s="509">
        <v>1897.5</v>
      </c>
    </row>
    <row r="1370" spans="1:10" ht="20.25" customHeight="1">
      <c r="A1370" s="471">
        <v>5111</v>
      </c>
      <c r="B1370" s="474" t="s">
        <v>1217</v>
      </c>
      <c r="C1370" s="473">
        <v>26</v>
      </c>
      <c r="D1370" s="478">
        <v>62902</v>
      </c>
      <c r="E1370" s="474">
        <v>38848</v>
      </c>
      <c r="F1370" s="475" t="s">
        <v>446</v>
      </c>
      <c r="G1370" s="476">
        <v>1</v>
      </c>
      <c r="H1370" s="475" t="s">
        <v>1218</v>
      </c>
      <c r="I1370" s="487" t="s">
        <v>1219</v>
      </c>
      <c r="J1370" s="509">
        <v>1897.5</v>
      </c>
    </row>
    <row r="1371" spans="1:10" ht="20.25" customHeight="1">
      <c r="A1371" s="471">
        <v>5111</v>
      </c>
      <c r="B1371" s="474" t="s">
        <v>1217</v>
      </c>
      <c r="C1371" s="473">
        <v>27</v>
      </c>
      <c r="D1371" s="478">
        <v>62902</v>
      </c>
      <c r="E1371" s="474">
        <v>38848</v>
      </c>
      <c r="F1371" s="475" t="s">
        <v>446</v>
      </c>
      <c r="G1371" s="476">
        <v>1</v>
      </c>
      <c r="H1371" s="475" t="s">
        <v>1218</v>
      </c>
      <c r="I1371" s="487" t="s">
        <v>1219</v>
      </c>
      <c r="J1371" s="509">
        <v>1897.5</v>
      </c>
    </row>
    <row r="1372" spans="1:10" ht="20.25" customHeight="1">
      <c r="A1372" s="471">
        <v>5111</v>
      </c>
      <c r="B1372" s="474" t="s">
        <v>1217</v>
      </c>
      <c r="C1372" s="473">
        <v>28</v>
      </c>
      <c r="D1372" s="478">
        <v>62902</v>
      </c>
      <c r="E1372" s="474">
        <v>38848</v>
      </c>
      <c r="F1372" s="475" t="s">
        <v>446</v>
      </c>
      <c r="G1372" s="476">
        <v>1</v>
      </c>
      <c r="H1372" s="475" t="s">
        <v>1218</v>
      </c>
      <c r="I1372" s="487" t="s">
        <v>1219</v>
      </c>
      <c r="J1372" s="509">
        <v>1897.5</v>
      </c>
    </row>
    <row r="1373" spans="1:10" ht="20.25" customHeight="1">
      <c r="A1373" s="471">
        <v>5111</v>
      </c>
      <c r="B1373" s="474" t="s">
        <v>1217</v>
      </c>
      <c r="C1373" s="473">
        <v>29</v>
      </c>
      <c r="D1373" s="478">
        <v>62902</v>
      </c>
      <c r="E1373" s="474">
        <v>38848</v>
      </c>
      <c r="F1373" s="475" t="s">
        <v>446</v>
      </c>
      <c r="G1373" s="476">
        <v>1</v>
      </c>
      <c r="H1373" s="475" t="s">
        <v>1218</v>
      </c>
      <c r="I1373" s="487" t="s">
        <v>1219</v>
      </c>
      <c r="J1373" s="509">
        <v>1897.5</v>
      </c>
    </row>
    <row r="1374" spans="1:10" ht="20.25" customHeight="1">
      <c r="A1374" s="471">
        <v>5111</v>
      </c>
      <c r="B1374" s="474" t="s">
        <v>1217</v>
      </c>
      <c r="C1374" s="473">
        <v>30</v>
      </c>
      <c r="D1374" s="478">
        <v>62902</v>
      </c>
      <c r="E1374" s="474">
        <v>38848</v>
      </c>
      <c r="F1374" s="475" t="s">
        <v>446</v>
      </c>
      <c r="G1374" s="476">
        <v>1</v>
      </c>
      <c r="H1374" s="475" t="s">
        <v>1218</v>
      </c>
      <c r="I1374" s="487" t="s">
        <v>1219</v>
      </c>
      <c r="J1374" s="509">
        <v>1897.5</v>
      </c>
    </row>
    <row r="1375" spans="1:10" ht="20.25" customHeight="1">
      <c r="A1375" s="471">
        <v>5111</v>
      </c>
      <c r="B1375" s="474" t="s">
        <v>1217</v>
      </c>
      <c r="C1375" s="473">
        <v>31</v>
      </c>
      <c r="D1375" s="478">
        <v>62902</v>
      </c>
      <c r="E1375" s="474">
        <v>38848</v>
      </c>
      <c r="F1375" s="475" t="s">
        <v>446</v>
      </c>
      <c r="G1375" s="476">
        <v>1</v>
      </c>
      <c r="H1375" s="475" t="s">
        <v>1218</v>
      </c>
      <c r="I1375" s="487" t="s">
        <v>1219</v>
      </c>
      <c r="J1375" s="509">
        <v>1897.5</v>
      </c>
    </row>
    <row r="1376" spans="1:10" ht="20.25" customHeight="1">
      <c r="A1376" s="471">
        <v>5111</v>
      </c>
      <c r="B1376" s="474" t="s">
        <v>1217</v>
      </c>
      <c r="C1376" s="473">
        <v>32</v>
      </c>
      <c r="D1376" s="478">
        <v>62902</v>
      </c>
      <c r="E1376" s="474">
        <v>38848</v>
      </c>
      <c r="F1376" s="475" t="s">
        <v>446</v>
      </c>
      <c r="G1376" s="476">
        <v>1</v>
      </c>
      <c r="H1376" s="475" t="s">
        <v>1218</v>
      </c>
      <c r="I1376" s="487" t="s">
        <v>1219</v>
      </c>
      <c r="J1376" s="509">
        <v>1897.5</v>
      </c>
    </row>
    <row r="1377" spans="1:10" ht="20.25" customHeight="1">
      <c r="A1377" s="471">
        <v>5111</v>
      </c>
      <c r="B1377" s="474" t="s">
        <v>1217</v>
      </c>
      <c r="C1377" s="473">
        <v>33</v>
      </c>
      <c r="D1377" s="478">
        <v>62902</v>
      </c>
      <c r="E1377" s="474">
        <v>38848</v>
      </c>
      <c r="F1377" s="475" t="s">
        <v>446</v>
      </c>
      <c r="G1377" s="476">
        <v>1</v>
      </c>
      <c r="H1377" s="475" t="s">
        <v>1218</v>
      </c>
      <c r="I1377" s="487" t="s">
        <v>1219</v>
      </c>
      <c r="J1377" s="509">
        <v>1897.5</v>
      </c>
    </row>
    <row r="1378" spans="1:10" ht="20.25" customHeight="1">
      <c r="A1378" s="471">
        <v>5111</v>
      </c>
      <c r="B1378" s="474" t="s">
        <v>1217</v>
      </c>
      <c r="C1378" s="473">
        <v>34</v>
      </c>
      <c r="D1378" s="478">
        <v>62902</v>
      </c>
      <c r="E1378" s="474">
        <v>38848</v>
      </c>
      <c r="F1378" s="475" t="s">
        <v>446</v>
      </c>
      <c r="G1378" s="476">
        <v>1</v>
      </c>
      <c r="H1378" s="475" t="s">
        <v>1218</v>
      </c>
      <c r="I1378" s="487" t="s">
        <v>1219</v>
      </c>
      <c r="J1378" s="509">
        <v>1897.5</v>
      </c>
    </row>
    <row r="1379" spans="1:10" ht="20.25" customHeight="1">
      <c r="A1379" s="471">
        <v>5111</v>
      </c>
      <c r="B1379" s="474" t="s">
        <v>1217</v>
      </c>
      <c r="C1379" s="473">
        <v>35</v>
      </c>
      <c r="D1379" s="478">
        <v>62902</v>
      </c>
      <c r="E1379" s="474">
        <v>38848</v>
      </c>
      <c r="F1379" s="475" t="s">
        <v>446</v>
      </c>
      <c r="G1379" s="476">
        <v>1</v>
      </c>
      <c r="H1379" s="475" t="s">
        <v>1218</v>
      </c>
      <c r="I1379" s="487" t="s">
        <v>1219</v>
      </c>
      <c r="J1379" s="509">
        <v>1897.5</v>
      </c>
    </row>
    <row r="1380" spans="1:10" ht="20.25" customHeight="1">
      <c r="A1380" s="471">
        <v>5111</v>
      </c>
      <c r="B1380" s="474" t="s">
        <v>1217</v>
      </c>
      <c r="C1380" s="473">
        <v>36</v>
      </c>
      <c r="D1380" s="478">
        <v>62902</v>
      </c>
      <c r="E1380" s="474">
        <v>38848</v>
      </c>
      <c r="F1380" s="475" t="s">
        <v>446</v>
      </c>
      <c r="G1380" s="476">
        <v>1</v>
      </c>
      <c r="H1380" s="475" t="s">
        <v>1218</v>
      </c>
      <c r="I1380" s="487" t="s">
        <v>1219</v>
      </c>
      <c r="J1380" s="509">
        <v>1897.5</v>
      </c>
    </row>
    <row r="1381" spans="1:10" ht="20.25" customHeight="1">
      <c r="A1381" s="471">
        <v>5111</v>
      </c>
      <c r="B1381" s="474" t="s">
        <v>1217</v>
      </c>
      <c r="C1381" s="473">
        <v>37</v>
      </c>
      <c r="D1381" s="478">
        <v>62902</v>
      </c>
      <c r="E1381" s="474">
        <v>38848</v>
      </c>
      <c r="F1381" s="475" t="s">
        <v>446</v>
      </c>
      <c r="G1381" s="476">
        <v>1</v>
      </c>
      <c r="H1381" s="475" t="s">
        <v>1218</v>
      </c>
      <c r="I1381" s="487" t="s">
        <v>1219</v>
      </c>
      <c r="J1381" s="509">
        <v>1897.5</v>
      </c>
    </row>
    <row r="1382" spans="1:10" ht="20.25" customHeight="1">
      <c r="A1382" s="471">
        <v>5111</v>
      </c>
      <c r="B1382" s="474" t="s">
        <v>1217</v>
      </c>
      <c r="C1382" s="473">
        <v>38</v>
      </c>
      <c r="D1382" s="478">
        <v>62902</v>
      </c>
      <c r="E1382" s="474">
        <v>38848</v>
      </c>
      <c r="F1382" s="475" t="s">
        <v>446</v>
      </c>
      <c r="G1382" s="476">
        <v>1</v>
      </c>
      <c r="H1382" s="475" t="s">
        <v>1218</v>
      </c>
      <c r="I1382" s="487" t="s">
        <v>1219</v>
      </c>
      <c r="J1382" s="509">
        <v>1897.5</v>
      </c>
    </row>
    <row r="1383" spans="1:10" ht="20.25" customHeight="1">
      <c r="A1383" s="471">
        <v>5111</v>
      </c>
      <c r="B1383" s="474" t="s">
        <v>1217</v>
      </c>
      <c r="C1383" s="473">
        <v>39</v>
      </c>
      <c r="D1383" s="478">
        <v>62902</v>
      </c>
      <c r="E1383" s="474">
        <v>38848</v>
      </c>
      <c r="F1383" s="475" t="s">
        <v>446</v>
      </c>
      <c r="G1383" s="476">
        <v>1</v>
      </c>
      <c r="H1383" s="475" t="s">
        <v>1218</v>
      </c>
      <c r="I1383" s="487" t="s">
        <v>1219</v>
      </c>
      <c r="J1383" s="509">
        <v>1897.5</v>
      </c>
    </row>
    <row r="1384" spans="1:10" ht="20.25" customHeight="1">
      <c r="A1384" s="471">
        <v>5111</v>
      </c>
      <c r="B1384" s="474" t="s">
        <v>1217</v>
      </c>
      <c r="C1384" s="473">
        <v>40</v>
      </c>
      <c r="D1384" s="478">
        <v>62902</v>
      </c>
      <c r="E1384" s="474">
        <v>38848</v>
      </c>
      <c r="F1384" s="475" t="s">
        <v>446</v>
      </c>
      <c r="G1384" s="476">
        <v>1</v>
      </c>
      <c r="H1384" s="475" t="s">
        <v>1218</v>
      </c>
      <c r="I1384" s="487" t="s">
        <v>1219</v>
      </c>
      <c r="J1384" s="509">
        <v>1897.5</v>
      </c>
    </row>
    <row r="1385" spans="1:10" ht="20.25" customHeight="1">
      <c r="A1385" s="471">
        <v>5111</v>
      </c>
      <c r="B1385" s="474" t="s">
        <v>1217</v>
      </c>
      <c r="C1385" s="473">
        <v>41</v>
      </c>
      <c r="D1385" s="478">
        <v>62902</v>
      </c>
      <c r="E1385" s="474">
        <v>38848</v>
      </c>
      <c r="F1385" s="475" t="s">
        <v>446</v>
      </c>
      <c r="G1385" s="476">
        <v>1</v>
      </c>
      <c r="H1385" s="475" t="s">
        <v>1218</v>
      </c>
      <c r="I1385" s="487" t="s">
        <v>1219</v>
      </c>
      <c r="J1385" s="509">
        <v>1897.5</v>
      </c>
    </row>
    <row r="1386" spans="1:10" ht="20.25" customHeight="1">
      <c r="A1386" s="471">
        <v>5111</v>
      </c>
      <c r="B1386" s="474" t="s">
        <v>1217</v>
      </c>
      <c r="C1386" s="473">
        <v>42</v>
      </c>
      <c r="D1386" s="478">
        <v>62902</v>
      </c>
      <c r="E1386" s="474">
        <v>38848</v>
      </c>
      <c r="F1386" s="475" t="s">
        <v>446</v>
      </c>
      <c r="G1386" s="476">
        <v>1</v>
      </c>
      <c r="H1386" s="475" t="s">
        <v>1218</v>
      </c>
      <c r="I1386" s="487" t="s">
        <v>1219</v>
      </c>
      <c r="J1386" s="509">
        <v>1897.5</v>
      </c>
    </row>
    <row r="1387" spans="1:10" ht="20.25" customHeight="1">
      <c r="A1387" s="471">
        <v>5111</v>
      </c>
      <c r="B1387" s="474" t="s">
        <v>1217</v>
      </c>
      <c r="C1387" s="473">
        <v>43</v>
      </c>
      <c r="D1387" s="478">
        <v>63087</v>
      </c>
      <c r="E1387" s="474">
        <v>38860</v>
      </c>
      <c r="F1387" s="475" t="s">
        <v>446</v>
      </c>
      <c r="G1387" s="476">
        <v>2</v>
      </c>
      <c r="H1387" s="475" t="s">
        <v>1220</v>
      </c>
      <c r="I1387" s="487" t="s">
        <v>1221</v>
      </c>
      <c r="J1387" s="509">
        <v>632.5</v>
      </c>
    </row>
    <row r="1388" spans="1:10" ht="20.25" customHeight="1">
      <c r="A1388" s="471">
        <v>5111</v>
      </c>
      <c r="B1388" s="474" t="s">
        <v>1217</v>
      </c>
      <c r="C1388" s="473">
        <v>44</v>
      </c>
      <c r="D1388" s="478">
        <v>63087</v>
      </c>
      <c r="E1388" s="474">
        <v>38860</v>
      </c>
      <c r="F1388" s="475" t="s">
        <v>446</v>
      </c>
      <c r="G1388" s="476">
        <v>2</v>
      </c>
      <c r="H1388" s="475" t="s">
        <v>1220</v>
      </c>
      <c r="I1388" s="487" t="s">
        <v>1221</v>
      </c>
      <c r="J1388" s="509">
        <v>632.5</v>
      </c>
    </row>
    <row r="1389" spans="1:10" ht="20.25" customHeight="1">
      <c r="A1389" s="471">
        <v>5111</v>
      </c>
      <c r="B1389" s="474" t="s">
        <v>1217</v>
      </c>
      <c r="C1389" s="473">
        <v>45</v>
      </c>
      <c r="D1389" s="478">
        <v>63087</v>
      </c>
      <c r="E1389" s="474">
        <v>38860</v>
      </c>
      <c r="F1389" s="475" t="s">
        <v>446</v>
      </c>
      <c r="G1389" s="476">
        <v>2</v>
      </c>
      <c r="H1389" s="475" t="s">
        <v>1220</v>
      </c>
      <c r="I1389" s="487" t="s">
        <v>1221</v>
      </c>
      <c r="J1389" s="509">
        <v>632.5</v>
      </c>
    </row>
    <row r="1390" spans="1:10" ht="20.25" customHeight="1">
      <c r="A1390" s="471">
        <v>5111</v>
      </c>
      <c r="B1390" s="474" t="s">
        <v>1217</v>
      </c>
      <c r="C1390" s="473">
        <v>46</v>
      </c>
      <c r="D1390" s="478">
        <v>63087</v>
      </c>
      <c r="E1390" s="474">
        <v>38860</v>
      </c>
      <c r="F1390" s="475" t="s">
        <v>446</v>
      </c>
      <c r="G1390" s="476">
        <v>2</v>
      </c>
      <c r="H1390" s="475" t="s">
        <v>1220</v>
      </c>
      <c r="I1390" s="487" t="s">
        <v>1221</v>
      </c>
      <c r="J1390" s="509">
        <v>632.5</v>
      </c>
    </row>
    <row r="1391" spans="1:10" ht="20.25" customHeight="1">
      <c r="A1391" s="471">
        <v>5111</v>
      </c>
      <c r="B1391" s="474" t="s">
        <v>1217</v>
      </c>
      <c r="C1391" s="473">
        <v>47</v>
      </c>
      <c r="D1391" s="478">
        <v>63087</v>
      </c>
      <c r="E1391" s="474">
        <v>38860</v>
      </c>
      <c r="F1391" s="475" t="s">
        <v>446</v>
      </c>
      <c r="G1391" s="476">
        <v>2</v>
      </c>
      <c r="H1391" s="475" t="s">
        <v>1220</v>
      </c>
      <c r="I1391" s="487" t="s">
        <v>1221</v>
      </c>
      <c r="J1391" s="509">
        <v>632.5</v>
      </c>
    </row>
    <row r="1392" spans="1:10" ht="20.25" customHeight="1">
      <c r="A1392" s="471">
        <v>5111</v>
      </c>
      <c r="B1392" s="474" t="s">
        <v>1217</v>
      </c>
      <c r="C1392" s="473">
        <v>48</v>
      </c>
      <c r="D1392" s="478">
        <v>63087</v>
      </c>
      <c r="E1392" s="474">
        <v>38860</v>
      </c>
      <c r="F1392" s="475" t="s">
        <v>446</v>
      </c>
      <c r="G1392" s="476">
        <v>2</v>
      </c>
      <c r="H1392" s="475" t="s">
        <v>1220</v>
      </c>
      <c r="I1392" s="487" t="s">
        <v>1221</v>
      </c>
      <c r="J1392" s="509">
        <v>632.5</v>
      </c>
    </row>
    <row r="1393" spans="1:10" ht="20.25" customHeight="1">
      <c r="A1393" s="471">
        <v>5111</v>
      </c>
      <c r="B1393" s="474" t="s">
        <v>1217</v>
      </c>
      <c r="C1393" s="473">
        <v>49</v>
      </c>
      <c r="D1393" s="478">
        <v>63087</v>
      </c>
      <c r="E1393" s="474">
        <v>38860</v>
      </c>
      <c r="F1393" s="475" t="s">
        <v>446</v>
      </c>
      <c r="G1393" s="476">
        <v>2</v>
      </c>
      <c r="H1393" s="475" t="s">
        <v>1220</v>
      </c>
      <c r="I1393" s="487" t="s">
        <v>1221</v>
      </c>
      <c r="J1393" s="509">
        <v>632.5</v>
      </c>
    </row>
    <row r="1394" spans="1:10" ht="20.25" customHeight="1">
      <c r="A1394" s="471">
        <v>5111</v>
      </c>
      <c r="B1394" s="474" t="s">
        <v>1217</v>
      </c>
      <c r="C1394" s="473">
        <v>50</v>
      </c>
      <c r="D1394" s="478">
        <v>63087</v>
      </c>
      <c r="E1394" s="474">
        <v>38860</v>
      </c>
      <c r="F1394" s="475" t="s">
        <v>446</v>
      </c>
      <c r="G1394" s="476">
        <v>2</v>
      </c>
      <c r="H1394" s="475" t="s">
        <v>1220</v>
      </c>
      <c r="I1394" s="487" t="s">
        <v>1221</v>
      </c>
      <c r="J1394" s="509">
        <v>632.5</v>
      </c>
    </row>
    <row r="1395" spans="1:10" ht="20.25" customHeight="1">
      <c r="A1395" s="471">
        <v>5111</v>
      </c>
      <c r="B1395" s="474" t="s">
        <v>1217</v>
      </c>
      <c r="C1395" s="473">
        <v>51</v>
      </c>
      <c r="D1395" s="478">
        <v>63087</v>
      </c>
      <c r="E1395" s="474">
        <v>38860</v>
      </c>
      <c r="F1395" s="475" t="s">
        <v>446</v>
      </c>
      <c r="G1395" s="476">
        <v>2</v>
      </c>
      <c r="H1395" s="475" t="s">
        <v>1220</v>
      </c>
      <c r="I1395" s="487" t="s">
        <v>1221</v>
      </c>
      <c r="J1395" s="509">
        <v>632.5</v>
      </c>
    </row>
    <row r="1396" spans="1:10" ht="20.25" customHeight="1">
      <c r="A1396" s="471">
        <v>5111</v>
      </c>
      <c r="B1396" s="474" t="s">
        <v>1217</v>
      </c>
      <c r="C1396" s="473">
        <v>52</v>
      </c>
      <c r="D1396" s="478">
        <v>63087</v>
      </c>
      <c r="E1396" s="474">
        <v>38860</v>
      </c>
      <c r="F1396" s="475" t="s">
        <v>446</v>
      </c>
      <c r="G1396" s="476">
        <v>2</v>
      </c>
      <c r="H1396" s="475" t="s">
        <v>1220</v>
      </c>
      <c r="I1396" s="487" t="s">
        <v>1221</v>
      </c>
      <c r="J1396" s="509">
        <v>632.5</v>
      </c>
    </row>
    <row r="1397" spans="1:10" ht="20.25" customHeight="1">
      <c r="A1397" s="471">
        <v>5111</v>
      </c>
      <c r="B1397" s="474" t="s">
        <v>1217</v>
      </c>
      <c r="C1397" s="473">
        <v>53</v>
      </c>
      <c r="D1397" s="478">
        <v>63087</v>
      </c>
      <c r="E1397" s="474">
        <v>38860</v>
      </c>
      <c r="F1397" s="475" t="s">
        <v>446</v>
      </c>
      <c r="G1397" s="476">
        <v>2</v>
      </c>
      <c r="H1397" s="475" t="s">
        <v>1220</v>
      </c>
      <c r="I1397" s="487" t="s">
        <v>1221</v>
      </c>
      <c r="J1397" s="509">
        <v>632.5</v>
      </c>
    </row>
    <row r="1398" spans="1:10" ht="20.25" customHeight="1">
      <c r="A1398" s="471">
        <v>5111</v>
      </c>
      <c r="B1398" s="474" t="s">
        <v>1217</v>
      </c>
      <c r="C1398" s="473">
        <v>54</v>
      </c>
      <c r="D1398" s="478">
        <v>63087</v>
      </c>
      <c r="E1398" s="474">
        <v>38860</v>
      </c>
      <c r="F1398" s="475" t="s">
        <v>446</v>
      </c>
      <c r="G1398" s="476">
        <v>2</v>
      </c>
      <c r="H1398" s="475" t="s">
        <v>1220</v>
      </c>
      <c r="I1398" s="487" t="s">
        <v>1221</v>
      </c>
      <c r="J1398" s="509">
        <v>632.5</v>
      </c>
    </row>
    <row r="1399" spans="1:10" ht="20.25" customHeight="1">
      <c r="A1399" s="471">
        <v>5111</v>
      </c>
      <c r="B1399" s="474" t="s">
        <v>1217</v>
      </c>
      <c r="C1399" s="473">
        <v>55</v>
      </c>
      <c r="D1399" s="478">
        <v>63087</v>
      </c>
      <c r="E1399" s="474">
        <v>38860</v>
      </c>
      <c r="F1399" s="475" t="s">
        <v>446</v>
      </c>
      <c r="G1399" s="476">
        <v>2</v>
      </c>
      <c r="H1399" s="475" t="s">
        <v>1220</v>
      </c>
      <c r="I1399" s="487" t="s">
        <v>1221</v>
      </c>
      <c r="J1399" s="509">
        <v>632.5</v>
      </c>
    </row>
    <row r="1400" spans="1:10" ht="20.25" customHeight="1">
      <c r="A1400" s="471">
        <v>5111</v>
      </c>
      <c r="B1400" s="474" t="s">
        <v>1217</v>
      </c>
      <c r="C1400" s="473">
        <v>56</v>
      </c>
      <c r="D1400" s="478">
        <v>63087</v>
      </c>
      <c r="E1400" s="474">
        <v>38860</v>
      </c>
      <c r="F1400" s="475" t="s">
        <v>446</v>
      </c>
      <c r="G1400" s="476">
        <v>2</v>
      </c>
      <c r="H1400" s="475" t="s">
        <v>1220</v>
      </c>
      <c r="I1400" s="487" t="s">
        <v>1221</v>
      </c>
      <c r="J1400" s="509">
        <v>632.5</v>
      </c>
    </row>
    <row r="1401" spans="1:10" ht="20.25" customHeight="1">
      <c r="A1401" s="471">
        <v>5111</v>
      </c>
      <c r="B1401" s="474" t="s">
        <v>1217</v>
      </c>
      <c r="C1401" s="473">
        <v>57</v>
      </c>
      <c r="D1401" s="478">
        <v>63087</v>
      </c>
      <c r="E1401" s="474">
        <v>38860</v>
      </c>
      <c r="F1401" s="475" t="s">
        <v>446</v>
      </c>
      <c r="G1401" s="476">
        <v>2</v>
      </c>
      <c r="H1401" s="475" t="s">
        <v>1220</v>
      </c>
      <c r="I1401" s="487" t="s">
        <v>1221</v>
      </c>
      <c r="J1401" s="509">
        <v>632.5</v>
      </c>
    </row>
    <row r="1402" spans="1:10" ht="20.25" customHeight="1">
      <c r="A1402" s="471">
        <v>5111</v>
      </c>
      <c r="B1402" s="474" t="s">
        <v>1217</v>
      </c>
      <c r="C1402" s="473">
        <v>58</v>
      </c>
      <c r="D1402" s="478">
        <v>63087</v>
      </c>
      <c r="E1402" s="474">
        <v>38860</v>
      </c>
      <c r="F1402" s="475" t="s">
        <v>446</v>
      </c>
      <c r="G1402" s="476">
        <v>2</v>
      </c>
      <c r="H1402" s="475" t="s">
        <v>1220</v>
      </c>
      <c r="I1402" s="487" t="s">
        <v>1221</v>
      </c>
      <c r="J1402" s="509">
        <v>632.5</v>
      </c>
    </row>
    <row r="1403" spans="1:10" ht="20.25" customHeight="1">
      <c r="A1403" s="471">
        <v>5111</v>
      </c>
      <c r="B1403" s="474" t="s">
        <v>1217</v>
      </c>
      <c r="C1403" s="473">
        <v>59</v>
      </c>
      <c r="D1403" s="478">
        <v>63087</v>
      </c>
      <c r="E1403" s="474">
        <v>38860</v>
      </c>
      <c r="F1403" s="475" t="s">
        <v>446</v>
      </c>
      <c r="G1403" s="476">
        <v>2</v>
      </c>
      <c r="H1403" s="475" t="s">
        <v>1220</v>
      </c>
      <c r="I1403" s="487" t="s">
        <v>1221</v>
      </c>
      <c r="J1403" s="509">
        <v>632.5</v>
      </c>
    </row>
    <row r="1404" spans="1:10" ht="20.25" customHeight="1">
      <c r="A1404" s="471">
        <v>5111</v>
      </c>
      <c r="B1404" s="474" t="s">
        <v>1217</v>
      </c>
      <c r="C1404" s="473">
        <v>60</v>
      </c>
      <c r="D1404" s="478">
        <v>63087</v>
      </c>
      <c r="E1404" s="474">
        <v>38860</v>
      </c>
      <c r="F1404" s="475" t="s">
        <v>446</v>
      </c>
      <c r="G1404" s="476">
        <v>3</v>
      </c>
      <c r="H1404" s="475" t="s">
        <v>1222</v>
      </c>
      <c r="I1404" s="487" t="s">
        <v>1223</v>
      </c>
      <c r="J1404" s="509">
        <v>924.6</v>
      </c>
    </row>
    <row r="1405" spans="1:10" ht="20.25" customHeight="1">
      <c r="A1405" s="471">
        <v>5111</v>
      </c>
      <c r="B1405" s="474" t="s">
        <v>1217</v>
      </c>
      <c r="C1405" s="473">
        <v>61</v>
      </c>
      <c r="D1405" s="478">
        <v>63087</v>
      </c>
      <c r="E1405" s="474">
        <v>38860</v>
      </c>
      <c r="F1405" s="475" t="s">
        <v>446</v>
      </c>
      <c r="G1405" s="476">
        <v>3</v>
      </c>
      <c r="H1405" s="475" t="s">
        <v>1222</v>
      </c>
      <c r="I1405" s="487" t="s">
        <v>1223</v>
      </c>
      <c r="J1405" s="509">
        <v>924.6</v>
      </c>
    </row>
    <row r="1406" spans="1:10" ht="20.25" customHeight="1">
      <c r="A1406" s="471">
        <v>5111</v>
      </c>
      <c r="B1406" s="474" t="s">
        <v>1217</v>
      </c>
      <c r="C1406" s="473">
        <v>62</v>
      </c>
      <c r="D1406" s="478">
        <v>63087</v>
      </c>
      <c r="E1406" s="474">
        <v>38860</v>
      </c>
      <c r="F1406" s="475" t="s">
        <v>446</v>
      </c>
      <c r="G1406" s="476">
        <v>3</v>
      </c>
      <c r="H1406" s="475" t="s">
        <v>1222</v>
      </c>
      <c r="I1406" s="487" t="s">
        <v>1223</v>
      </c>
      <c r="J1406" s="509">
        <v>924.6</v>
      </c>
    </row>
    <row r="1407" spans="1:10" ht="20.25" customHeight="1">
      <c r="A1407" s="471">
        <v>5111</v>
      </c>
      <c r="B1407" s="474" t="s">
        <v>1217</v>
      </c>
      <c r="C1407" s="473">
        <v>63</v>
      </c>
      <c r="D1407" s="478">
        <v>63087</v>
      </c>
      <c r="E1407" s="474">
        <v>38860</v>
      </c>
      <c r="F1407" s="475" t="s">
        <v>446</v>
      </c>
      <c r="G1407" s="476">
        <v>5</v>
      </c>
      <c r="H1407" s="475" t="s">
        <v>1224</v>
      </c>
      <c r="I1407" s="487" t="s">
        <v>1225</v>
      </c>
      <c r="J1407" s="509">
        <v>963.7</v>
      </c>
    </row>
    <row r="1408" spans="1:10" ht="20.25" customHeight="1">
      <c r="A1408" s="471">
        <v>5111</v>
      </c>
      <c r="B1408" s="474" t="s">
        <v>1217</v>
      </c>
      <c r="C1408" s="473">
        <v>64</v>
      </c>
      <c r="D1408" s="478">
        <v>63087</v>
      </c>
      <c r="E1408" s="474">
        <v>38860</v>
      </c>
      <c r="F1408" s="475" t="s">
        <v>446</v>
      </c>
      <c r="G1408" s="476">
        <v>5</v>
      </c>
      <c r="H1408" s="475" t="s">
        <v>1224</v>
      </c>
      <c r="I1408" s="487" t="s">
        <v>1225</v>
      </c>
      <c r="J1408" s="509">
        <v>963.7</v>
      </c>
    </row>
    <row r="1409" spans="1:10" ht="20.25" customHeight="1">
      <c r="A1409" s="471">
        <v>5111</v>
      </c>
      <c r="B1409" s="474" t="s">
        <v>1217</v>
      </c>
      <c r="C1409" s="473">
        <v>65</v>
      </c>
      <c r="D1409" s="478">
        <v>63087</v>
      </c>
      <c r="E1409" s="474">
        <v>38860</v>
      </c>
      <c r="F1409" s="475" t="s">
        <v>446</v>
      </c>
      <c r="G1409" s="476">
        <v>5</v>
      </c>
      <c r="H1409" s="475" t="s">
        <v>1224</v>
      </c>
      <c r="I1409" s="487" t="s">
        <v>1225</v>
      </c>
      <c r="J1409" s="509">
        <v>963.7</v>
      </c>
    </row>
    <row r="1410" spans="1:10" ht="20.25" customHeight="1">
      <c r="A1410" s="471">
        <v>5111</v>
      </c>
      <c r="B1410" s="474" t="s">
        <v>1217</v>
      </c>
      <c r="C1410" s="473">
        <v>66</v>
      </c>
      <c r="D1410" s="478">
        <v>63087</v>
      </c>
      <c r="E1410" s="474">
        <v>38860</v>
      </c>
      <c r="F1410" s="475" t="s">
        <v>446</v>
      </c>
      <c r="G1410" s="476">
        <v>5</v>
      </c>
      <c r="H1410" s="475" t="s">
        <v>1224</v>
      </c>
      <c r="I1410" s="487" t="s">
        <v>1225</v>
      </c>
      <c r="J1410" s="509">
        <v>963.7</v>
      </c>
    </row>
    <row r="1411" spans="1:10" ht="20.25" customHeight="1">
      <c r="A1411" s="471">
        <v>5111</v>
      </c>
      <c r="B1411" s="474" t="s">
        <v>1217</v>
      </c>
      <c r="C1411" s="473">
        <v>67</v>
      </c>
      <c r="D1411" s="478">
        <v>63087</v>
      </c>
      <c r="E1411" s="474">
        <v>38860</v>
      </c>
      <c r="F1411" s="475" t="s">
        <v>446</v>
      </c>
      <c r="G1411" s="476">
        <v>5</v>
      </c>
      <c r="H1411" s="475" t="s">
        <v>1224</v>
      </c>
      <c r="I1411" s="487" t="s">
        <v>1225</v>
      </c>
      <c r="J1411" s="509">
        <v>963.7</v>
      </c>
    </row>
    <row r="1412" spans="1:10" ht="20.25" customHeight="1">
      <c r="A1412" s="471">
        <v>5111</v>
      </c>
      <c r="B1412" s="474" t="s">
        <v>1217</v>
      </c>
      <c r="C1412" s="473">
        <v>68</v>
      </c>
      <c r="D1412" s="478">
        <v>63087</v>
      </c>
      <c r="E1412" s="474">
        <v>38860</v>
      </c>
      <c r="F1412" s="475" t="s">
        <v>446</v>
      </c>
      <c r="G1412" s="476">
        <v>5</v>
      </c>
      <c r="H1412" s="475" t="s">
        <v>1224</v>
      </c>
      <c r="I1412" s="487" t="s">
        <v>1225</v>
      </c>
      <c r="J1412" s="509">
        <v>963.7</v>
      </c>
    </row>
    <row r="1413" spans="1:10" ht="20.25" customHeight="1">
      <c r="A1413" s="471">
        <v>5111</v>
      </c>
      <c r="B1413" s="474" t="s">
        <v>1217</v>
      </c>
      <c r="C1413" s="473">
        <v>69</v>
      </c>
      <c r="D1413" s="478">
        <v>63087</v>
      </c>
      <c r="E1413" s="474">
        <v>38860</v>
      </c>
      <c r="F1413" s="475" t="s">
        <v>446</v>
      </c>
      <c r="G1413" s="476">
        <v>4</v>
      </c>
      <c r="H1413" s="475" t="s">
        <v>1226</v>
      </c>
      <c r="I1413" s="487" t="s">
        <v>1227</v>
      </c>
      <c r="J1413" s="509">
        <v>1336.3</v>
      </c>
    </row>
    <row r="1414" spans="1:10" ht="20.25" customHeight="1">
      <c r="A1414" s="471">
        <v>5111</v>
      </c>
      <c r="B1414" s="474" t="s">
        <v>1217</v>
      </c>
      <c r="C1414" s="473">
        <v>70</v>
      </c>
      <c r="D1414" s="478">
        <v>63087</v>
      </c>
      <c r="E1414" s="474">
        <v>38860</v>
      </c>
      <c r="F1414" s="475" t="s">
        <v>446</v>
      </c>
      <c r="G1414" s="476">
        <v>4</v>
      </c>
      <c r="H1414" s="475" t="s">
        <v>1226</v>
      </c>
      <c r="I1414" s="487" t="s">
        <v>1227</v>
      </c>
      <c r="J1414" s="509">
        <v>1336.3</v>
      </c>
    </row>
    <row r="1415" spans="1:10" ht="20.25" customHeight="1">
      <c r="A1415" s="471">
        <v>5111</v>
      </c>
      <c r="B1415" s="474" t="s">
        <v>1217</v>
      </c>
      <c r="C1415" s="473">
        <v>71</v>
      </c>
      <c r="D1415" s="478">
        <v>63087</v>
      </c>
      <c r="E1415" s="474">
        <v>38860</v>
      </c>
      <c r="F1415" s="475" t="s">
        <v>446</v>
      </c>
      <c r="G1415" s="476">
        <v>4</v>
      </c>
      <c r="H1415" s="475" t="s">
        <v>1226</v>
      </c>
      <c r="I1415" s="487" t="s">
        <v>1227</v>
      </c>
      <c r="J1415" s="509">
        <v>1336.3</v>
      </c>
    </row>
    <row r="1416" spans="1:10" ht="20.25" customHeight="1">
      <c r="A1416" s="471">
        <v>5111</v>
      </c>
      <c r="B1416" s="474" t="s">
        <v>1217</v>
      </c>
      <c r="C1416" s="473">
        <v>72</v>
      </c>
      <c r="D1416" s="478">
        <v>63087</v>
      </c>
      <c r="E1416" s="474">
        <v>38860</v>
      </c>
      <c r="F1416" s="475" t="s">
        <v>446</v>
      </c>
      <c r="G1416" s="476">
        <v>4</v>
      </c>
      <c r="H1416" s="475" t="s">
        <v>1226</v>
      </c>
      <c r="I1416" s="487" t="s">
        <v>1227</v>
      </c>
      <c r="J1416" s="509">
        <v>1336.3</v>
      </c>
    </row>
    <row r="1417" spans="1:10" ht="20.25" customHeight="1">
      <c r="A1417" s="471">
        <v>5111</v>
      </c>
      <c r="B1417" s="474" t="s">
        <v>1217</v>
      </c>
      <c r="C1417" s="473">
        <v>73</v>
      </c>
      <c r="D1417" s="478">
        <v>63087</v>
      </c>
      <c r="E1417" s="474">
        <v>38860</v>
      </c>
      <c r="F1417" s="475" t="s">
        <v>446</v>
      </c>
      <c r="G1417" s="476">
        <v>4</v>
      </c>
      <c r="H1417" s="475" t="s">
        <v>1226</v>
      </c>
      <c r="I1417" s="487" t="s">
        <v>1227</v>
      </c>
      <c r="J1417" s="509">
        <v>1336.3</v>
      </c>
    </row>
    <row r="1418" spans="1:10" ht="20.25" customHeight="1">
      <c r="A1418" s="471">
        <v>5111</v>
      </c>
      <c r="B1418" s="474" t="s">
        <v>1217</v>
      </c>
      <c r="C1418" s="473">
        <v>74</v>
      </c>
      <c r="D1418" s="478">
        <v>63087</v>
      </c>
      <c r="E1418" s="474">
        <v>38860</v>
      </c>
      <c r="F1418" s="475" t="s">
        <v>446</v>
      </c>
      <c r="G1418" s="476">
        <v>4</v>
      </c>
      <c r="H1418" s="475" t="s">
        <v>1226</v>
      </c>
      <c r="I1418" s="487" t="s">
        <v>1227</v>
      </c>
      <c r="J1418" s="509">
        <v>1336.3</v>
      </c>
    </row>
    <row r="1419" spans="1:10" ht="20.25" customHeight="1">
      <c r="A1419" s="471">
        <v>5111</v>
      </c>
      <c r="B1419" s="474" t="s">
        <v>1217</v>
      </c>
      <c r="C1419" s="473">
        <v>75</v>
      </c>
      <c r="D1419" s="478">
        <v>63087</v>
      </c>
      <c r="E1419" s="474">
        <v>38860</v>
      </c>
      <c r="F1419" s="475" t="s">
        <v>446</v>
      </c>
      <c r="G1419" s="476">
        <v>4</v>
      </c>
      <c r="H1419" s="475" t="s">
        <v>1226</v>
      </c>
      <c r="I1419" s="487" t="s">
        <v>1227</v>
      </c>
      <c r="J1419" s="509">
        <v>1336.3</v>
      </c>
    </row>
    <row r="1420" spans="1:10" ht="20.25" customHeight="1">
      <c r="A1420" s="471">
        <v>5111</v>
      </c>
      <c r="B1420" s="474" t="s">
        <v>1217</v>
      </c>
      <c r="C1420" s="473">
        <v>76</v>
      </c>
      <c r="D1420" s="478">
        <v>63087</v>
      </c>
      <c r="E1420" s="474">
        <v>38860</v>
      </c>
      <c r="F1420" s="475" t="s">
        <v>446</v>
      </c>
      <c r="G1420" s="476">
        <v>4</v>
      </c>
      <c r="H1420" s="475" t="s">
        <v>1226</v>
      </c>
      <c r="I1420" s="487" t="s">
        <v>1227</v>
      </c>
      <c r="J1420" s="509">
        <v>1336.3</v>
      </c>
    </row>
    <row r="1421" spans="1:10" ht="20.25" customHeight="1">
      <c r="A1421" s="471">
        <v>5111</v>
      </c>
      <c r="B1421" s="474" t="s">
        <v>1217</v>
      </c>
      <c r="C1421" s="473">
        <v>77</v>
      </c>
      <c r="D1421" s="478">
        <v>63087</v>
      </c>
      <c r="E1421" s="474">
        <v>38860</v>
      </c>
      <c r="F1421" s="475" t="s">
        <v>446</v>
      </c>
      <c r="G1421" s="476">
        <v>4</v>
      </c>
      <c r="H1421" s="475" t="s">
        <v>1226</v>
      </c>
      <c r="I1421" s="487" t="s">
        <v>1227</v>
      </c>
      <c r="J1421" s="509">
        <v>1336.3</v>
      </c>
    </row>
    <row r="1422" spans="1:10" ht="20.25" customHeight="1">
      <c r="A1422" s="471">
        <v>5111</v>
      </c>
      <c r="B1422" s="474" t="s">
        <v>1217</v>
      </c>
      <c r="C1422" s="473">
        <v>78</v>
      </c>
      <c r="D1422" s="478">
        <v>63087</v>
      </c>
      <c r="E1422" s="474">
        <v>38860</v>
      </c>
      <c r="F1422" s="475" t="s">
        <v>446</v>
      </c>
      <c r="G1422" s="476">
        <v>4</v>
      </c>
      <c r="H1422" s="475" t="s">
        <v>1226</v>
      </c>
      <c r="I1422" s="487" t="s">
        <v>1227</v>
      </c>
      <c r="J1422" s="509">
        <v>1336.3</v>
      </c>
    </row>
    <row r="1423" spans="1:10" ht="20.25" customHeight="1">
      <c r="A1423" s="471">
        <v>5111</v>
      </c>
      <c r="B1423" s="474" t="s">
        <v>1217</v>
      </c>
      <c r="C1423" s="473">
        <v>79</v>
      </c>
      <c r="D1423" s="478">
        <v>63087</v>
      </c>
      <c r="E1423" s="474">
        <v>38860</v>
      </c>
      <c r="F1423" s="475" t="s">
        <v>446</v>
      </c>
      <c r="G1423" s="476">
        <v>4</v>
      </c>
      <c r="H1423" s="475" t="s">
        <v>1226</v>
      </c>
      <c r="I1423" s="487" t="s">
        <v>1227</v>
      </c>
      <c r="J1423" s="509">
        <v>1336.3</v>
      </c>
    </row>
    <row r="1424" spans="1:10" ht="20.25" customHeight="1">
      <c r="A1424" s="471">
        <v>5111</v>
      </c>
      <c r="B1424" s="474" t="s">
        <v>1217</v>
      </c>
      <c r="C1424" s="473">
        <v>80</v>
      </c>
      <c r="D1424" s="478">
        <v>63087</v>
      </c>
      <c r="E1424" s="474">
        <v>38860</v>
      </c>
      <c r="F1424" s="475" t="s">
        <v>446</v>
      </c>
      <c r="G1424" s="476">
        <v>4</v>
      </c>
      <c r="H1424" s="475" t="s">
        <v>1226</v>
      </c>
      <c r="I1424" s="487" t="s">
        <v>1227</v>
      </c>
      <c r="J1424" s="509">
        <v>1336.3</v>
      </c>
    </row>
    <row r="1425" spans="1:10" ht="20.25" customHeight="1">
      <c r="A1425" s="471">
        <v>5111</v>
      </c>
      <c r="B1425" s="474" t="s">
        <v>1217</v>
      </c>
      <c r="C1425" s="473">
        <v>81</v>
      </c>
      <c r="D1425" s="478">
        <v>63087</v>
      </c>
      <c r="E1425" s="474">
        <v>38860</v>
      </c>
      <c r="F1425" s="475" t="s">
        <v>446</v>
      </c>
      <c r="G1425" s="476">
        <v>4</v>
      </c>
      <c r="H1425" s="475" t="s">
        <v>1226</v>
      </c>
      <c r="I1425" s="487" t="s">
        <v>1227</v>
      </c>
      <c r="J1425" s="509">
        <v>1336.3</v>
      </c>
    </row>
    <row r="1426" spans="1:10" ht="20.25" customHeight="1">
      <c r="A1426" s="471">
        <v>5111</v>
      </c>
      <c r="B1426" s="474" t="s">
        <v>1217</v>
      </c>
      <c r="C1426" s="473">
        <v>82</v>
      </c>
      <c r="D1426" s="478">
        <v>63087</v>
      </c>
      <c r="E1426" s="474">
        <v>38860</v>
      </c>
      <c r="F1426" s="475" t="s">
        <v>446</v>
      </c>
      <c r="G1426" s="476">
        <v>4</v>
      </c>
      <c r="H1426" s="475" t="s">
        <v>1226</v>
      </c>
      <c r="I1426" s="487" t="s">
        <v>1227</v>
      </c>
      <c r="J1426" s="509">
        <v>1336.3</v>
      </c>
    </row>
    <row r="1427" spans="1:10" ht="20.25" customHeight="1">
      <c r="A1427" s="471">
        <v>5111</v>
      </c>
      <c r="B1427" s="474" t="s">
        <v>1217</v>
      </c>
      <c r="C1427" s="473">
        <v>83</v>
      </c>
      <c r="D1427" s="478">
        <v>63087</v>
      </c>
      <c r="E1427" s="474">
        <v>38860</v>
      </c>
      <c r="F1427" s="475" t="s">
        <v>446</v>
      </c>
      <c r="G1427" s="476">
        <v>4</v>
      </c>
      <c r="H1427" s="475" t="s">
        <v>1226</v>
      </c>
      <c r="I1427" s="487" t="s">
        <v>1227</v>
      </c>
      <c r="J1427" s="509">
        <v>1336.3</v>
      </c>
    </row>
    <row r="1428" spans="1:10" ht="20.25" customHeight="1">
      <c r="A1428" s="471">
        <v>5111</v>
      </c>
      <c r="B1428" s="474" t="s">
        <v>1217</v>
      </c>
      <c r="C1428" s="473">
        <v>84</v>
      </c>
      <c r="D1428" s="478">
        <v>63087</v>
      </c>
      <c r="E1428" s="474">
        <v>38860</v>
      </c>
      <c r="F1428" s="475" t="s">
        <v>446</v>
      </c>
      <c r="G1428" s="476">
        <v>4</v>
      </c>
      <c r="H1428" s="475" t="s">
        <v>1226</v>
      </c>
      <c r="I1428" s="487" t="s">
        <v>1227</v>
      </c>
      <c r="J1428" s="509">
        <v>1336.3</v>
      </c>
    </row>
    <row r="1429" spans="1:10" ht="20.25" customHeight="1">
      <c r="A1429" s="471">
        <v>5111</v>
      </c>
      <c r="B1429" s="474" t="s">
        <v>1217</v>
      </c>
      <c r="C1429" s="473">
        <v>85</v>
      </c>
      <c r="D1429" s="478">
        <v>63087</v>
      </c>
      <c r="E1429" s="474">
        <v>38860</v>
      </c>
      <c r="F1429" s="475" t="s">
        <v>446</v>
      </c>
      <c r="G1429" s="476">
        <v>4</v>
      </c>
      <c r="H1429" s="475" t="s">
        <v>1226</v>
      </c>
      <c r="I1429" s="487" t="s">
        <v>1227</v>
      </c>
      <c r="J1429" s="509">
        <v>1336.3</v>
      </c>
    </row>
    <row r="1430" spans="1:10" ht="20.25" customHeight="1">
      <c r="A1430" s="471">
        <v>5111</v>
      </c>
      <c r="B1430" s="474" t="s">
        <v>1217</v>
      </c>
      <c r="C1430" s="473">
        <v>86</v>
      </c>
      <c r="D1430" s="478">
        <v>63087</v>
      </c>
      <c r="E1430" s="474">
        <v>38860</v>
      </c>
      <c r="F1430" s="475" t="s">
        <v>446</v>
      </c>
      <c r="G1430" s="476">
        <v>4</v>
      </c>
      <c r="H1430" s="475" t="s">
        <v>1226</v>
      </c>
      <c r="I1430" s="487" t="s">
        <v>1227</v>
      </c>
      <c r="J1430" s="509">
        <v>1336.3</v>
      </c>
    </row>
    <row r="1431" spans="1:10" ht="20.25" customHeight="1">
      <c r="A1431" s="471">
        <v>5111</v>
      </c>
      <c r="B1431" s="474" t="s">
        <v>1217</v>
      </c>
      <c r="C1431" s="473">
        <v>87</v>
      </c>
      <c r="D1431" s="478">
        <v>63087</v>
      </c>
      <c r="E1431" s="474">
        <v>38860</v>
      </c>
      <c r="F1431" s="475" t="s">
        <v>446</v>
      </c>
      <c r="G1431" s="476">
        <v>4</v>
      </c>
      <c r="H1431" s="475" t="s">
        <v>1226</v>
      </c>
      <c r="I1431" s="487" t="s">
        <v>1227</v>
      </c>
      <c r="J1431" s="509">
        <v>1336.3</v>
      </c>
    </row>
    <row r="1432" spans="1:10" ht="20.25" customHeight="1">
      <c r="A1432" s="471">
        <v>5111</v>
      </c>
      <c r="B1432" s="474" t="s">
        <v>1217</v>
      </c>
      <c r="C1432" s="473">
        <v>88</v>
      </c>
      <c r="D1432" s="478">
        <v>63087</v>
      </c>
      <c r="E1432" s="474">
        <v>38860</v>
      </c>
      <c r="F1432" s="475" t="s">
        <v>446</v>
      </c>
      <c r="G1432" s="476">
        <v>4</v>
      </c>
      <c r="H1432" s="475" t="s">
        <v>1226</v>
      </c>
      <c r="I1432" s="487" t="s">
        <v>1227</v>
      </c>
      <c r="J1432" s="509">
        <v>1336.3</v>
      </c>
    </row>
    <row r="1433" spans="1:10" ht="20.25" customHeight="1">
      <c r="A1433" s="471">
        <v>5111</v>
      </c>
      <c r="B1433" s="474" t="s">
        <v>1217</v>
      </c>
      <c r="C1433" s="473">
        <v>89</v>
      </c>
      <c r="D1433" s="478">
        <v>63087</v>
      </c>
      <c r="E1433" s="474">
        <v>38860</v>
      </c>
      <c r="F1433" s="475" t="s">
        <v>446</v>
      </c>
      <c r="G1433" s="476">
        <v>6</v>
      </c>
      <c r="H1433" s="475" t="s">
        <v>1228</v>
      </c>
      <c r="I1433" s="487" t="s">
        <v>1229</v>
      </c>
      <c r="J1433" s="509">
        <v>1948.1</v>
      </c>
    </row>
    <row r="1434" spans="1:10" ht="20.25" customHeight="1">
      <c r="A1434" s="471">
        <v>5111</v>
      </c>
      <c r="B1434" s="474" t="s">
        <v>1217</v>
      </c>
      <c r="C1434" s="473">
        <v>90</v>
      </c>
      <c r="D1434" s="478">
        <v>63087</v>
      </c>
      <c r="E1434" s="474">
        <v>38860</v>
      </c>
      <c r="F1434" s="475" t="s">
        <v>446</v>
      </c>
      <c r="G1434" s="476">
        <v>6</v>
      </c>
      <c r="H1434" s="475" t="s">
        <v>1228</v>
      </c>
      <c r="I1434" s="487" t="s">
        <v>1229</v>
      </c>
      <c r="J1434" s="509">
        <v>1948.1</v>
      </c>
    </row>
    <row r="1435" spans="1:10" ht="20.25" customHeight="1">
      <c r="A1435" s="471">
        <v>5111</v>
      </c>
      <c r="B1435" s="474" t="s">
        <v>1217</v>
      </c>
      <c r="C1435" s="473">
        <v>91</v>
      </c>
      <c r="D1435" s="478">
        <v>63087</v>
      </c>
      <c r="E1435" s="474">
        <v>38860</v>
      </c>
      <c r="F1435" s="475" t="s">
        <v>446</v>
      </c>
      <c r="G1435" s="476">
        <v>6</v>
      </c>
      <c r="H1435" s="475" t="s">
        <v>1228</v>
      </c>
      <c r="I1435" s="487" t="s">
        <v>1229</v>
      </c>
      <c r="J1435" s="509">
        <v>1948.1</v>
      </c>
    </row>
    <row r="1436" spans="1:10" ht="20.25" customHeight="1">
      <c r="A1436" s="471">
        <v>5111</v>
      </c>
      <c r="B1436" s="474" t="s">
        <v>1217</v>
      </c>
      <c r="C1436" s="473">
        <v>92</v>
      </c>
      <c r="D1436" s="478">
        <v>15</v>
      </c>
      <c r="E1436" s="474">
        <v>38867</v>
      </c>
      <c r="F1436" s="475" t="s">
        <v>446</v>
      </c>
      <c r="G1436" s="476">
        <v>14</v>
      </c>
      <c r="H1436" s="475" t="s">
        <v>1230</v>
      </c>
      <c r="I1436" s="487" t="s">
        <v>504</v>
      </c>
      <c r="J1436" s="509">
        <v>623.29999999999995</v>
      </c>
    </row>
    <row r="1437" spans="1:10" ht="20.25" customHeight="1">
      <c r="A1437" s="471">
        <v>5111</v>
      </c>
      <c r="B1437" s="474" t="s">
        <v>1217</v>
      </c>
      <c r="C1437" s="473">
        <v>93</v>
      </c>
      <c r="D1437" s="478">
        <v>15</v>
      </c>
      <c r="E1437" s="474">
        <v>38867</v>
      </c>
      <c r="F1437" s="475" t="s">
        <v>446</v>
      </c>
      <c r="G1437" s="476">
        <v>14</v>
      </c>
      <c r="H1437" s="475" t="s">
        <v>1230</v>
      </c>
      <c r="I1437" s="487" t="s">
        <v>504</v>
      </c>
      <c r="J1437" s="509">
        <v>623.29999999999995</v>
      </c>
    </row>
    <row r="1438" spans="1:10" ht="20.25" customHeight="1">
      <c r="A1438" s="471">
        <v>5111</v>
      </c>
      <c r="B1438" s="474" t="s">
        <v>1217</v>
      </c>
      <c r="C1438" s="473">
        <v>94</v>
      </c>
      <c r="D1438" s="478">
        <v>15</v>
      </c>
      <c r="E1438" s="474">
        <v>38867</v>
      </c>
      <c r="F1438" s="475" t="s">
        <v>446</v>
      </c>
      <c r="G1438" s="476">
        <v>14</v>
      </c>
      <c r="H1438" s="475" t="s">
        <v>1230</v>
      </c>
      <c r="I1438" s="487" t="s">
        <v>504</v>
      </c>
      <c r="J1438" s="509">
        <v>623.29999999999995</v>
      </c>
    </row>
    <row r="1439" spans="1:10" ht="20.25" customHeight="1">
      <c r="A1439" s="471">
        <v>5111</v>
      </c>
      <c r="B1439" s="474" t="s">
        <v>1217</v>
      </c>
      <c r="C1439" s="473">
        <v>95</v>
      </c>
      <c r="D1439" s="478">
        <v>15</v>
      </c>
      <c r="E1439" s="474">
        <v>38867</v>
      </c>
      <c r="F1439" s="475" t="s">
        <v>446</v>
      </c>
      <c r="G1439" s="476">
        <v>14</v>
      </c>
      <c r="H1439" s="475" t="s">
        <v>1230</v>
      </c>
      <c r="I1439" s="487" t="s">
        <v>504</v>
      </c>
      <c r="J1439" s="509">
        <v>623.29999999999995</v>
      </c>
    </row>
    <row r="1440" spans="1:10" ht="20.25" customHeight="1">
      <c r="A1440" s="471">
        <v>5111</v>
      </c>
      <c r="B1440" s="474" t="s">
        <v>1217</v>
      </c>
      <c r="C1440" s="473">
        <v>96</v>
      </c>
      <c r="D1440" s="478">
        <v>15</v>
      </c>
      <c r="E1440" s="474">
        <v>38867</v>
      </c>
      <c r="F1440" s="475" t="s">
        <v>446</v>
      </c>
      <c r="G1440" s="476">
        <v>14</v>
      </c>
      <c r="H1440" s="475" t="s">
        <v>1230</v>
      </c>
      <c r="I1440" s="487" t="s">
        <v>504</v>
      </c>
      <c r="J1440" s="509">
        <v>623.29999999999995</v>
      </c>
    </row>
    <row r="1441" spans="1:10" ht="20.25" customHeight="1">
      <c r="A1441" s="471">
        <v>5111</v>
      </c>
      <c r="B1441" s="474" t="s">
        <v>1217</v>
      </c>
      <c r="C1441" s="473">
        <v>97</v>
      </c>
      <c r="D1441" s="478">
        <v>15</v>
      </c>
      <c r="E1441" s="474">
        <v>38867</v>
      </c>
      <c r="F1441" s="475" t="s">
        <v>446</v>
      </c>
      <c r="G1441" s="476">
        <v>14</v>
      </c>
      <c r="H1441" s="475" t="s">
        <v>1230</v>
      </c>
      <c r="I1441" s="487" t="s">
        <v>504</v>
      </c>
      <c r="J1441" s="509">
        <v>623.29999999999995</v>
      </c>
    </row>
    <row r="1442" spans="1:10" ht="20.25" customHeight="1">
      <c r="A1442" s="471">
        <v>5111</v>
      </c>
      <c r="B1442" s="474" t="s">
        <v>1217</v>
      </c>
      <c r="C1442" s="473">
        <v>98</v>
      </c>
      <c r="D1442" s="478">
        <v>15</v>
      </c>
      <c r="E1442" s="474">
        <v>38867</v>
      </c>
      <c r="F1442" s="475" t="s">
        <v>446</v>
      </c>
      <c r="G1442" s="476">
        <v>14</v>
      </c>
      <c r="H1442" s="475" t="s">
        <v>1230</v>
      </c>
      <c r="I1442" s="487" t="s">
        <v>504</v>
      </c>
      <c r="J1442" s="509">
        <v>623.29999999999995</v>
      </c>
    </row>
    <row r="1443" spans="1:10" ht="20.25" customHeight="1">
      <c r="A1443" s="471">
        <v>5111</v>
      </c>
      <c r="B1443" s="474" t="s">
        <v>1217</v>
      </c>
      <c r="C1443" s="473">
        <v>99</v>
      </c>
      <c r="D1443" s="478">
        <v>15</v>
      </c>
      <c r="E1443" s="474">
        <v>38867</v>
      </c>
      <c r="F1443" s="475" t="s">
        <v>446</v>
      </c>
      <c r="G1443" s="476">
        <v>14</v>
      </c>
      <c r="H1443" s="475" t="s">
        <v>1230</v>
      </c>
      <c r="I1443" s="487" t="s">
        <v>504</v>
      </c>
      <c r="J1443" s="509">
        <v>623.29999999999995</v>
      </c>
    </row>
    <row r="1444" spans="1:10" ht="20.25" customHeight="1">
      <c r="A1444" s="471">
        <v>5111</v>
      </c>
      <c r="B1444" s="474" t="s">
        <v>1217</v>
      </c>
      <c r="C1444" s="473">
        <v>100</v>
      </c>
      <c r="D1444" s="478">
        <v>15</v>
      </c>
      <c r="E1444" s="474">
        <v>38867</v>
      </c>
      <c r="F1444" s="475" t="s">
        <v>446</v>
      </c>
      <c r="G1444" s="476">
        <v>14</v>
      </c>
      <c r="H1444" s="475" t="s">
        <v>1230</v>
      </c>
      <c r="I1444" s="487" t="s">
        <v>504</v>
      </c>
      <c r="J1444" s="509">
        <v>623.29999999999995</v>
      </c>
    </row>
    <row r="1445" spans="1:10" ht="20.25" customHeight="1">
      <c r="A1445" s="471">
        <v>5111</v>
      </c>
      <c r="B1445" s="474" t="s">
        <v>1217</v>
      </c>
      <c r="C1445" s="473">
        <v>101</v>
      </c>
      <c r="D1445" s="478">
        <v>15</v>
      </c>
      <c r="E1445" s="474">
        <v>38867</v>
      </c>
      <c r="F1445" s="475" t="s">
        <v>446</v>
      </c>
      <c r="G1445" s="476">
        <v>14</v>
      </c>
      <c r="H1445" s="475" t="s">
        <v>1230</v>
      </c>
      <c r="I1445" s="487" t="s">
        <v>504</v>
      </c>
      <c r="J1445" s="509">
        <v>623.29999999999995</v>
      </c>
    </row>
    <row r="1446" spans="1:10" ht="20.25" customHeight="1">
      <c r="A1446" s="471">
        <v>5111</v>
      </c>
      <c r="B1446" s="474" t="s">
        <v>1217</v>
      </c>
      <c r="C1446" s="473">
        <v>102</v>
      </c>
      <c r="D1446" s="478">
        <v>15</v>
      </c>
      <c r="E1446" s="474">
        <v>38867</v>
      </c>
      <c r="F1446" s="475" t="s">
        <v>446</v>
      </c>
      <c r="G1446" s="476">
        <v>14</v>
      </c>
      <c r="H1446" s="475" t="s">
        <v>1230</v>
      </c>
      <c r="I1446" s="487" t="s">
        <v>504</v>
      </c>
      <c r="J1446" s="509">
        <v>623.29999999999995</v>
      </c>
    </row>
    <row r="1447" spans="1:10" ht="20.25" customHeight="1">
      <c r="A1447" s="471">
        <v>5111</v>
      </c>
      <c r="B1447" s="474" t="s">
        <v>1217</v>
      </c>
      <c r="C1447" s="473">
        <v>103</v>
      </c>
      <c r="D1447" s="478">
        <v>15</v>
      </c>
      <c r="E1447" s="474">
        <v>38867</v>
      </c>
      <c r="F1447" s="475" t="s">
        <v>446</v>
      </c>
      <c r="G1447" s="476">
        <v>14</v>
      </c>
      <c r="H1447" s="475" t="s">
        <v>1230</v>
      </c>
      <c r="I1447" s="487" t="s">
        <v>504</v>
      </c>
      <c r="J1447" s="509">
        <v>623.29999999999995</v>
      </c>
    </row>
    <row r="1448" spans="1:10" ht="20.25" customHeight="1">
      <c r="A1448" s="471">
        <v>5111</v>
      </c>
      <c r="B1448" s="474" t="s">
        <v>1217</v>
      </c>
      <c r="C1448" s="473">
        <v>104</v>
      </c>
      <c r="D1448" s="478">
        <v>15</v>
      </c>
      <c r="E1448" s="474">
        <v>38867</v>
      </c>
      <c r="F1448" s="475" t="s">
        <v>446</v>
      </c>
      <c r="G1448" s="476">
        <v>14</v>
      </c>
      <c r="H1448" s="475" t="s">
        <v>1230</v>
      </c>
      <c r="I1448" s="487" t="s">
        <v>504</v>
      </c>
      <c r="J1448" s="509">
        <v>623.29999999999995</v>
      </c>
    </row>
    <row r="1449" spans="1:10" ht="20.25" customHeight="1">
      <c r="A1449" s="471">
        <v>5111</v>
      </c>
      <c r="B1449" s="474" t="s">
        <v>1217</v>
      </c>
      <c r="C1449" s="473">
        <v>105</v>
      </c>
      <c r="D1449" s="478">
        <v>15</v>
      </c>
      <c r="E1449" s="474">
        <v>38867</v>
      </c>
      <c r="F1449" s="475" t="s">
        <v>446</v>
      </c>
      <c r="G1449" s="476">
        <v>14</v>
      </c>
      <c r="H1449" s="475" t="s">
        <v>1230</v>
      </c>
      <c r="I1449" s="487" t="s">
        <v>504</v>
      </c>
      <c r="J1449" s="509">
        <v>623.29999999999995</v>
      </c>
    </row>
    <row r="1450" spans="1:10" ht="20.25" customHeight="1">
      <c r="A1450" s="471">
        <v>5111</v>
      </c>
      <c r="B1450" s="474" t="s">
        <v>1217</v>
      </c>
      <c r="C1450" s="473">
        <v>106</v>
      </c>
      <c r="D1450" s="478">
        <v>15</v>
      </c>
      <c r="E1450" s="474">
        <v>38867</v>
      </c>
      <c r="F1450" s="475" t="s">
        <v>446</v>
      </c>
      <c r="G1450" s="476">
        <v>14</v>
      </c>
      <c r="H1450" s="475" t="s">
        <v>1230</v>
      </c>
      <c r="I1450" s="487" t="s">
        <v>504</v>
      </c>
      <c r="J1450" s="509">
        <v>623.29999999999995</v>
      </c>
    </row>
    <row r="1451" spans="1:10" ht="20.25" customHeight="1">
      <c r="A1451" s="471">
        <v>5111</v>
      </c>
      <c r="B1451" s="474" t="s">
        <v>1217</v>
      </c>
      <c r="C1451" s="473">
        <v>107</v>
      </c>
      <c r="D1451" s="478">
        <v>15</v>
      </c>
      <c r="E1451" s="474">
        <v>38867</v>
      </c>
      <c r="F1451" s="475" t="s">
        <v>446</v>
      </c>
      <c r="G1451" s="476">
        <v>14</v>
      </c>
      <c r="H1451" s="475" t="s">
        <v>1230</v>
      </c>
      <c r="I1451" s="487" t="s">
        <v>504</v>
      </c>
      <c r="J1451" s="509">
        <v>623.29999999999995</v>
      </c>
    </row>
    <row r="1452" spans="1:10" ht="20.25" customHeight="1">
      <c r="A1452" s="471">
        <v>5111</v>
      </c>
      <c r="B1452" s="474" t="s">
        <v>1217</v>
      </c>
      <c r="C1452" s="473">
        <v>108</v>
      </c>
      <c r="D1452" s="478">
        <v>15</v>
      </c>
      <c r="E1452" s="474">
        <v>38867</v>
      </c>
      <c r="F1452" s="475" t="s">
        <v>446</v>
      </c>
      <c r="G1452" s="476">
        <v>14</v>
      </c>
      <c r="H1452" s="475" t="s">
        <v>1230</v>
      </c>
      <c r="I1452" s="487" t="s">
        <v>504</v>
      </c>
      <c r="J1452" s="509">
        <v>623.29999999999995</v>
      </c>
    </row>
    <row r="1453" spans="1:10" ht="20.25" customHeight="1">
      <c r="A1453" s="471">
        <v>5111</v>
      </c>
      <c r="B1453" s="474" t="s">
        <v>1217</v>
      </c>
      <c r="C1453" s="473">
        <v>109</v>
      </c>
      <c r="D1453" s="478">
        <v>15</v>
      </c>
      <c r="E1453" s="474">
        <v>38867</v>
      </c>
      <c r="F1453" s="475" t="s">
        <v>446</v>
      </c>
      <c r="G1453" s="476">
        <v>14</v>
      </c>
      <c r="H1453" s="475" t="s">
        <v>1230</v>
      </c>
      <c r="I1453" s="487" t="s">
        <v>504</v>
      </c>
      <c r="J1453" s="509">
        <v>623.29999999999995</v>
      </c>
    </row>
    <row r="1454" spans="1:10" ht="20.25" customHeight="1">
      <c r="A1454" s="471">
        <v>5111</v>
      </c>
      <c r="B1454" s="474" t="s">
        <v>1217</v>
      </c>
      <c r="C1454" s="473">
        <v>110</v>
      </c>
      <c r="D1454" s="478">
        <v>15</v>
      </c>
      <c r="E1454" s="474">
        <v>38867</v>
      </c>
      <c r="F1454" s="475" t="s">
        <v>446</v>
      </c>
      <c r="G1454" s="476">
        <v>14</v>
      </c>
      <c r="H1454" s="475" t="s">
        <v>1230</v>
      </c>
      <c r="I1454" s="487" t="s">
        <v>504</v>
      </c>
      <c r="J1454" s="509">
        <v>623.29999999999995</v>
      </c>
    </row>
    <row r="1455" spans="1:10" ht="20.25" customHeight="1">
      <c r="A1455" s="471">
        <v>5111</v>
      </c>
      <c r="B1455" s="474" t="s">
        <v>1217</v>
      </c>
      <c r="C1455" s="473">
        <v>111</v>
      </c>
      <c r="D1455" s="478">
        <v>15</v>
      </c>
      <c r="E1455" s="474">
        <v>38867</v>
      </c>
      <c r="F1455" s="475" t="s">
        <v>446</v>
      </c>
      <c r="G1455" s="476">
        <v>14</v>
      </c>
      <c r="H1455" s="475" t="s">
        <v>1230</v>
      </c>
      <c r="I1455" s="487" t="s">
        <v>504</v>
      </c>
      <c r="J1455" s="509">
        <v>623.29999999999995</v>
      </c>
    </row>
    <row r="1456" spans="1:10" ht="20.25" customHeight="1">
      <c r="A1456" s="471">
        <v>5111</v>
      </c>
      <c r="B1456" s="474" t="s">
        <v>1217</v>
      </c>
      <c r="C1456" s="473">
        <v>112</v>
      </c>
      <c r="D1456" s="478">
        <v>15</v>
      </c>
      <c r="E1456" s="474">
        <v>38867</v>
      </c>
      <c r="F1456" s="475" t="s">
        <v>446</v>
      </c>
      <c r="G1456" s="476">
        <v>14</v>
      </c>
      <c r="H1456" s="475" t="s">
        <v>1230</v>
      </c>
      <c r="I1456" s="487" t="s">
        <v>504</v>
      </c>
      <c r="J1456" s="509">
        <v>623.29999999999995</v>
      </c>
    </row>
    <row r="1457" spans="1:10" ht="20.25" customHeight="1">
      <c r="A1457" s="471">
        <v>5111</v>
      </c>
      <c r="B1457" s="474" t="s">
        <v>1217</v>
      </c>
      <c r="C1457" s="473">
        <v>113</v>
      </c>
      <c r="D1457" s="478">
        <v>15</v>
      </c>
      <c r="E1457" s="474">
        <v>38867</v>
      </c>
      <c r="F1457" s="475" t="s">
        <v>446</v>
      </c>
      <c r="G1457" s="476">
        <v>14</v>
      </c>
      <c r="H1457" s="475" t="s">
        <v>1230</v>
      </c>
      <c r="I1457" s="487" t="s">
        <v>504</v>
      </c>
      <c r="J1457" s="509">
        <v>623.29999999999995</v>
      </c>
    </row>
    <row r="1458" spans="1:10" ht="20.25" customHeight="1">
      <c r="A1458" s="471">
        <v>5111</v>
      </c>
      <c r="B1458" s="474" t="s">
        <v>1217</v>
      </c>
      <c r="C1458" s="473">
        <v>114</v>
      </c>
      <c r="D1458" s="478">
        <v>15</v>
      </c>
      <c r="E1458" s="474">
        <v>38867</v>
      </c>
      <c r="F1458" s="475" t="s">
        <v>446</v>
      </c>
      <c r="G1458" s="476">
        <v>14</v>
      </c>
      <c r="H1458" s="475" t="s">
        <v>1230</v>
      </c>
      <c r="I1458" s="487" t="s">
        <v>504</v>
      </c>
      <c r="J1458" s="509">
        <v>623.29999999999995</v>
      </c>
    </row>
    <row r="1459" spans="1:10" ht="20.25" customHeight="1">
      <c r="A1459" s="471">
        <v>5111</v>
      </c>
      <c r="B1459" s="474" t="s">
        <v>1217</v>
      </c>
      <c r="C1459" s="473">
        <v>115</v>
      </c>
      <c r="D1459" s="478">
        <v>15</v>
      </c>
      <c r="E1459" s="474">
        <v>38867</v>
      </c>
      <c r="F1459" s="475" t="s">
        <v>446</v>
      </c>
      <c r="G1459" s="476">
        <v>14</v>
      </c>
      <c r="H1459" s="475" t="s">
        <v>1230</v>
      </c>
      <c r="I1459" s="487" t="s">
        <v>504</v>
      </c>
      <c r="J1459" s="509">
        <v>623.29999999999995</v>
      </c>
    </row>
    <row r="1460" spans="1:10" ht="20.25" customHeight="1">
      <c r="A1460" s="471">
        <v>5111</v>
      </c>
      <c r="B1460" s="474" t="s">
        <v>1217</v>
      </c>
      <c r="C1460" s="473">
        <v>116</v>
      </c>
      <c r="D1460" s="478">
        <v>15</v>
      </c>
      <c r="E1460" s="474">
        <v>38867</v>
      </c>
      <c r="F1460" s="475" t="s">
        <v>446</v>
      </c>
      <c r="G1460" s="476">
        <v>14</v>
      </c>
      <c r="H1460" s="475" t="s">
        <v>1230</v>
      </c>
      <c r="I1460" s="487" t="s">
        <v>504</v>
      </c>
      <c r="J1460" s="509">
        <v>623.29999999999995</v>
      </c>
    </row>
    <row r="1461" spans="1:10" ht="20.25" customHeight="1">
      <c r="A1461" s="471">
        <v>5111</v>
      </c>
      <c r="B1461" s="474" t="s">
        <v>1217</v>
      </c>
      <c r="C1461" s="473">
        <v>117</v>
      </c>
      <c r="D1461" s="478">
        <v>15</v>
      </c>
      <c r="E1461" s="474">
        <v>38867</v>
      </c>
      <c r="F1461" s="475" t="s">
        <v>446</v>
      </c>
      <c r="G1461" s="476">
        <v>14</v>
      </c>
      <c r="H1461" s="475" t="s">
        <v>1230</v>
      </c>
      <c r="I1461" s="487" t="s">
        <v>504</v>
      </c>
      <c r="J1461" s="509">
        <v>623.29999999999995</v>
      </c>
    </row>
    <row r="1462" spans="1:10" ht="20.25" customHeight="1">
      <c r="A1462" s="471">
        <v>5111</v>
      </c>
      <c r="B1462" s="474" t="s">
        <v>1217</v>
      </c>
      <c r="C1462" s="473">
        <v>118</v>
      </c>
      <c r="D1462" s="478">
        <v>15</v>
      </c>
      <c r="E1462" s="474">
        <v>38867</v>
      </c>
      <c r="F1462" s="475" t="s">
        <v>446</v>
      </c>
      <c r="G1462" s="476">
        <v>14</v>
      </c>
      <c r="H1462" s="475" t="s">
        <v>1230</v>
      </c>
      <c r="I1462" s="487" t="s">
        <v>504</v>
      </c>
      <c r="J1462" s="509">
        <v>623.29999999999995</v>
      </c>
    </row>
    <row r="1463" spans="1:10" ht="20.25" customHeight="1">
      <c r="A1463" s="471">
        <v>5111</v>
      </c>
      <c r="B1463" s="474" t="s">
        <v>1217</v>
      </c>
      <c r="C1463" s="473">
        <v>119</v>
      </c>
      <c r="D1463" s="478">
        <v>15</v>
      </c>
      <c r="E1463" s="474">
        <v>38867</v>
      </c>
      <c r="F1463" s="475" t="s">
        <v>446</v>
      </c>
      <c r="G1463" s="476">
        <v>14</v>
      </c>
      <c r="H1463" s="475" t="s">
        <v>1230</v>
      </c>
      <c r="I1463" s="487" t="s">
        <v>504</v>
      </c>
      <c r="J1463" s="509">
        <v>623.29999999999995</v>
      </c>
    </row>
    <row r="1464" spans="1:10" ht="20.25" customHeight="1">
      <c r="A1464" s="471">
        <v>5111</v>
      </c>
      <c r="B1464" s="474" t="s">
        <v>1217</v>
      </c>
      <c r="C1464" s="473">
        <v>120</v>
      </c>
      <c r="D1464" s="478">
        <v>15</v>
      </c>
      <c r="E1464" s="474">
        <v>38867</v>
      </c>
      <c r="F1464" s="475" t="s">
        <v>446</v>
      </c>
      <c r="G1464" s="476">
        <v>14</v>
      </c>
      <c r="H1464" s="475" t="s">
        <v>1230</v>
      </c>
      <c r="I1464" s="487" t="s">
        <v>504</v>
      </c>
      <c r="J1464" s="509">
        <v>623.29999999999995</v>
      </c>
    </row>
    <row r="1465" spans="1:10" ht="20.25" customHeight="1">
      <c r="A1465" s="471">
        <v>5111</v>
      </c>
      <c r="B1465" s="474" t="s">
        <v>1217</v>
      </c>
      <c r="C1465" s="473">
        <v>121</v>
      </c>
      <c r="D1465" s="478">
        <v>15</v>
      </c>
      <c r="E1465" s="474">
        <v>38867</v>
      </c>
      <c r="F1465" s="475" t="s">
        <v>446</v>
      </c>
      <c r="G1465" s="476">
        <v>14</v>
      </c>
      <c r="H1465" s="475" t="s">
        <v>1230</v>
      </c>
      <c r="I1465" s="487" t="s">
        <v>504</v>
      </c>
      <c r="J1465" s="509">
        <v>623.29999999999995</v>
      </c>
    </row>
    <row r="1466" spans="1:10" ht="20.25" customHeight="1">
      <c r="A1466" s="471">
        <v>5111</v>
      </c>
      <c r="B1466" s="474" t="s">
        <v>1217</v>
      </c>
      <c r="C1466" s="473">
        <v>122</v>
      </c>
      <c r="D1466" s="478">
        <v>15</v>
      </c>
      <c r="E1466" s="474">
        <v>38867</v>
      </c>
      <c r="F1466" s="475" t="s">
        <v>446</v>
      </c>
      <c r="G1466" s="476">
        <v>14</v>
      </c>
      <c r="H1466" s="475" t="s">
        <v>1230</v>
      </c>
      <c r="I1466" s="487" t="s">
        <v>504</v>
      </c>
      <c r="J1466" s="509">
        <v>623.29999999999995</v>
      </c>
    </row>
    <row r="1467" spans="1:10" ht="20.25" customHeight="1">
      <c r="A1467" s="471">
        <v>5111</v>
      </c>
      <c r="B1467" s="474" t="s">
        <v>1217</v>
      </c>
      <c r="C1467" s="473">
        <v>123</v>
      </c>
      <c r="D1467" s="478">
        <v>15</v>
      </c>
      <c r="E1467" s="474">
        <v>38867</v>
      </c>
      <c r="F1467" s="475" t="s">
        <v>446</v>
      </c>
      <c r="G1467" s="476">
        <v>14</v>
      </c>
      <c r="H1467" s="475" t="s">
        <v>1230</v>
      </c>
      <c r="I1467" s="487" t="s">
        <v>504</v>
      </c>
      <c r="J1467" s="509">
        <v>623.29999999999995</v>
      </c>
    </row>
    <row r="1468" spans="1:10" ht="20.25" customHeight="1">
      <c r="A1468" s="471">
        <v>5111</v>
      </c>
      <c r="B1468" s="474" t="s">
        <v>1217</v>
      </c>
      <c r="C1468" s="473">
        <v>124</v>
      </c>
      <c r="D1468" s="478">
        <v>15</v>
      </c>
      <c r="E1468" s="474">
        <v>38867</v>
      </c>
      <c r="F1468" s="475" t="s">
        <v>446</v>
      </c>
      <c r="G1468" s="476">
        <v>14</v>
      </c>
      <c r="H1468" s="475" t="s">
        <v>1230</v>
      </c>
      <c r="I1468" s="487" t="s">
        <v>504</v>
      </c>
      <c r="J1468" s="509">
        <v>623.29999999999995</v>
      </c>
    </row>
    <row r="1469" spans="1:10" ht="20.25" customHeight="1">
      <c r="A1469" s="471">
        <v>5111</v>
      </c>
      <c r="B1469" s="474" t="s">
        <v>1217</v>
      </c>
      <c r="C1469" s="473">
        <v>125</v>
      </c>
      <c r="D1469" s="478">
        <v>15</v>
      </c>
      <c r="E1469" s="474">
        <v>38867</v>
      </c>
      <c r="F1469" s="475" t="s">
        <v>446</v>
      </c>
      <c r="G1469" s="476">
        <v>14</v>
      </c>
      <c r="H1469" s="475" t="s">
        <v>1230</v>
      </c>
      <c r="I1469" s="487" t="s">
        <v>504</v>
      </c>
      <c r="J1469" s="509">
        <v>623.29999999999995</v>
      </c>
    </row>
    <row r="1470" spans="1:10" ht="20.25" customHeight="1">
      <c r="A1470" s="471">
        <v>5111</v>
      </c>
      <c r="B1470" s="474" t="s">
        <v>1217</v>
      </c>
      <c r="C1470" s="473">
        <v>126</v>
      </c>
      <c r="D1470" s="478">
        <v>15</v>
      </c>
      <c r="E1470" s="474">
        <v>38867</v>
      </c>
      <c r="F1470" s="475" t="s">
        <v>446</v>
      </c>
      <c r="G1470" s="476">
        <v>14</v>
      </c>
      <c r="H1470" s="475" t="s">
        <v>1230</v>
      </c>
      <c r="I1470" s="487" t="s">
        <v>504</v>
      </c>
      <c r="J1470" s="509">
        <v>623.29999999999995</v>
      </c>
    </row>
    <row r="1471" spans="1:10" ht="20.25" customHeight="1">
      <c r="A1471" s="471">
        <v>5111</v>
      </c>
      <c r="B1471" s="474" t="s">
        <v>1217</v>
      </c>
      <c r="C1471" s="473">
        <v>127</v>
      </c>
      <c r="D1471" s="478">
        <v>15</v>
      </c>
      <c r="E1471" s="474">
        <v>38867</v>
      </c>
      <c r="F1471" s="475" t="s">
        <v>446</v>
      </c>
      <c r="G1471" s="476">
        <v>14</v>
      </c>
      <c r="H1471" s="475" t="s">
        <v>1230</v>
      </c>
      <c r="I1471" s="487" t="s">
        <v>504</v>
      </c>
      <c r="J1471" s="509">
        <v>623.29999999999995</v>
      </c>
    </row>
    <row r="1472" spans="1:10" ht="20.25" customHeight="1">
      <c r="A1472" s="471">
        <v>5111</v>
      </c>
      <c r="B1472" s="474" t="s">
        <v>1217</v>
      </c>
      <c r="C1472" s="473">
        <v>128</v>
      </c>
      <c r="D1472" s="478">
        <v>15</v>
      </c>
      <c r="E1472" s="474">
        <v>38867</v>
      </c>
      <c r="F1472" s="475" t="s">
        <v>446</v>
      </c>
      <c r="G1472" s="476">
        <v>14</v>
      </c>
      <c r="H1472" s="475" t="s">
        <v>1230</v>
      </c>
      <c r="I1472" s="487" t="s">
        <v>504</v>
      </c>
      <c r="J1472" s="509">
        <v>623.29999999999995</v>
      </c>
    </row>
    <row r="1473" spans="1:10" ht="20.25" customHeight="1">
      <c r="A1473" s="471">
        <v>5111</v>
      </c>
      <c r="B1473" s="474" t="s">
        <v>1217</v>
      </c>
      <c r="C1473" s="473">
        <v>129</v>
      </c>
      <c r="D1473" s="478">
        <v>15</v>
      </c>
      <c r="E1473" s="474">
        <v>38867</v>
      </c>
      <c r="F1473" s="475" t="s">
        <v>446</v>
      </c>
      <c r="G1473" s="476">
        <v>14</v>
      </c>
      <c r="H1473" s="475" t="s">
        <v>1230</v>
      </c>
      <c r="I1473" s="487" t="s">
        <v>504</v>
      </c>
      <c r="J1473" s="509">
        <v>623.29999999999995</v>
      </c>
    </row>
    <row r="1474" spans="1:10" ht="20.25" customHeight="1">
      <c r="A1474" s="471">
        <v>5111</v>
      </c>
      <c r="B1474" s="474" t="s">
        <v>1217</v>
      </c>
      <c r="C1474" s="473">
        <v>130</v>
      </c>
      <c r="D1474" s="478">
        <v>15</v>
      </c>
      <c r="E1474" s="474">
        <v>38867</v>
      </c>
      <c r="F1474" s="475" t="s">
        <v>446</v>
      </c>
      <c r="G1474" s="476">
        <v>14</v>
      </c>
      <c r="H1474" s="475" t="s">
        <v>1230</v>
      </c>
      <c r="I1474" s="487" t="s">
        <v>504</v>
      </c>
      <c r="J1474" s="509">
        <v>623.29999999999995</v>
      </c>
    </row>
    <row r="1475" spans="1:10" ht="20.25" customHeight="1">
      <c r="A1475" s="471">
        <v>5111</v>
      </c>
      <c r="B1475" s="474" t="s">
        <v>1217</v>
      </c>
      <c r="C1475" s="473">
        <v>131</v>
      </c>
      <c r="D1475" s="478">
        <v>15</v>
      </c>
      <c r="E1475" s="474">
        <v>38867</v>
      </c>
      <c r="F1475" s="475" t="s">
        <v>446</v>
      </c>
      <c r="G1475" s="476">
        <v>14</v>
      </c>
      <c r="H1475" s="475" t="s">
        <v>1230</v>
      </c>
      <c r="I1475" s="487" t="s">
        <v>504</v>
      </c>
      <c r="J1475" s="509">
        <v>623.29999999999995</v>
      </c>
    </row>
    <row r="1476" spans="1:10" ht="20.25" customHeight="1">
      <c r="A1476" s="471">
        <v>5111</v>
      </c>
      <c r="B1476" s="474" t="s">
        <v>1217</v>
      </c>
      <c r="C1476" s="473">
        <v>132</v>
      </c>
      <c r="D1476" s="478">
        <v>15</v>
      </c>
      <c r="E1476" s="474">
        <v>38867</v>
      </c>
      <c r="F1476" s="475" t="s">
        <v>446</v>
      </c>
      <c r="G1476" s="476">
        <v>14</v>
      </c>
      <c r="H1476" s="475" t="s">
        <v>1230</v>
      </c>
      <c r="I1476" s="487" t="s">
        <v>504</v>
      </c>
      <c r="J1476" s="509">
        <v>623.29999999999995</v>
      </c>
    </row>
    <row r="1477" spans="1:10" ht="20.25" customHeight="1">
      <c r="A1477" s="471">
        <v>5111</v>
      </c>
      <c r="B1477" s="474" t="s">
        <v>1217</v>
      </c>
      <c r="C1477" s="473">
        <v>133</v>
      </c>
      <c r="D1477" s="478">
        <v>15</v>
      </c>
      <c r="E1477" s="474">
        <v>38867</v>
      </c>
      <c r="F1477" s="475" t="s">
        <v>446</v>
      </c>
      <c r="G1477" s="476">
        <v>14</v>
      </c>
      <c r="H1477" s="475" t="s">
        <v>1230</v>
      </c>
      <c r="I1477" s="487" t="s">
        <v>504</v>
      </c>
      <c r="J1477" s="509">
        <v>623.29999999999995</v>
      </c>
    </row>
    <row r="1478" spans="1:10" ht="20.25" customHeight="1">
      <c r="A1478" s="471">
        <v>5111</v>
      </c>
      <c r="B1478" s="474" t="s">
        <v>1217</v>
      </c>
      <c r="C1478" s="473">
        <v>134</v>
      </c>
      <c r="D1478" s="478">
        <v>15</v>
      </c>
      <c r="E1478" s="474">
        <v>38867</v>
      </c>
      <c r="F1478" s="475" t="s">
        <v>446</v>
      </c>
      <c r="G1478" s="476">
        <v>14</v>
      </c>
      <c r="H1478" s="475" t="s">
        <v>1230</v>
      </c>
      <c r="I1478" s="487" t="s">
        <v>504</v>
      </c>
      <c r="J1478" s="509">
        <v>623.29999999999995</v>
      </c>
    </row>
    <row r="1479" spans="1:10" ht="20.25" customHeight="1">
      <c r="A1479" s="471">
        <v>5111</v>
      </c>
      <c r="B1479" s="474" t="s">
        <v>1217</v>
      </c>
      <c r="C1479" s="473">
        <v>135</v>
      </c>
      <c r="D1479" s="478">
        <v>15</v>
      </c>
      <c r="E1479" s="474">
        <v>38867</v>
      </c>
      <c r="F1479" s="475" t="s">
        <v>446</v>
      </c>
      <c r="G1479" s="476">
        <v>14</v>
      </c>
      <c r="H1479" s="475" t="s">
        <v>1230</v>
      </c>
      <c r="I1479" s="487" t="s">
        <v>504</v>
      </c>
      <c r="J1479" s="509">
        <v>623.29999999999995</v>
      </c>
    </row>
    <row r="1480" spans="1:10" ht="20.25" customHeight="1">
      <c r="A1480" s="471">
        <v>5111</v>
      </c>
      <c r="B1480" s="474" t="s">
        <v>1217</v>
      </c>
      <c r="C1480" s="473">
        <v>136</v>
      </c>
      <c r="D1480" s="478">
        <v>15</v>
      </c>
      <c r="E1480" s="474">
        <v>38867</v>
      </c>
      <c r="F1480" s="475" t="s">
        <v>446</v>
      </c>
      <c r="G1480" s="476">
        <v>14</v>
      </c>
      <c r="H1480" s="475" t="s">
        <v>1230</v>
      </c>
      <c r="I1480" s="487" t="s">
        <v>504</v>
      </c>
      <c r="J1480" s="509">
        <v>623.29999999999995</v>
      </c>
    </row>
    <row r="1481" spans="1:10" ht="20.25" customHeight="1">
      <c r="A1481" s="471">
        <v>5111</v>
      </c>
      <c r="B1481" s="474" t="s">
        <v>1217</v>
      </c>
      <c r="C1481" s="473">
        <v>137</v>
      </c>
      <c r="D1481" s="478">
        <v>15</v>
      </c>
      <c r="E1481" s="474">
        <v>38867</v>
      </c>
      <c r="F1481" s="475" t="s">
        <v>446</v>
      </c>
      <c r="G1481" s="476">
        <v>14</v>
      </c>
      <c r="H1481" s="475" t="s">
        <v>1230</v>
      </c>
      <c r="I1481" s="487" t="s">
        <v>504</v>
      </c>
      <c r="J1481" s="509">
        <v>623.29999999999995</v>
      </c>
    </row>
    <row r="1482" spans="1:10" ht="20.25" customHeight="1">
      <c r="A1482" s="471">
        <v>5111</v>
      </c>
      <c r="B1482" s="474" t="s">
        <v>1217</v>
      </c>
      <c r="C1482" s="473">
        <v>138</v>
      </c>
      <c r="D1482" s="478">
        <v>15</v>
      </c>
      <c r="E1482" s="474">
        <v>38867</v>
      </c>
      <c r="F1482" s="475" t="s">
        <v>446</v>
      </c>
      <c r="G1482" s="476">
        <v>14</v>
      </c>
      <c r="H1482" s="475" t="s">
        <v>1230</v>
      </c>
      <c r="I1482" s="487" t="s">
        <v>504</v>
      </c>
      <c r="J1482" s="509">
        <v>623.29999999999995</v>
      </c>
    </row>
    <row r="1483" spans="1:10" ht="20.25" customHeight="1">
      <c r="A1483" s="471">
        <v>5111</v>
      </c>
      <c r="B1483" s="474" t="s">
        <v>1217</v>
      </c>
      <c r="C1483" s="473">
        <v>139</v>
      </c>
      <c r="D1483" s="478">
        <v>15</v>
      </c>
      <c r="E1483" s="474">
        <v>38867</v>
      </c>
      <c r="F1483" s="475" t="s">
        <v>446</v>
      </c>
      <c r="G1483" s="476">
        <v>14</v>
      </c>
      <c r="H1483" s="475" t="s">
        <v>1230</v>
      </c>
      <c r="I1483" s="487" t="s">
        <v>504</v>
      </c>
      <c r="J1483" s="509">
        <v>623.29999999999995</v>
      </c>
    </row>
    <row r="1484" spans="1:10" ht="20.25" customHeight="1">
      <c r="A1484" s="471">
        <v>5111</v>
      </c>
      <c r="B1484" s="474" t="s">
        <v>1217</v>
      </c>
      <c r="C1484" s="473">
        <v>140</v>
      </c>
      <c r="D1484" s="478">
        <v>15</v>
      </c>
      <c r="E1484" s="474">
        <v>38867</v>
      </c>
      <c r="F1484" s="475" t="s">
        <v>446</v>
      </c>
      <c r="G1484" s="476">
        <v>14</v>
      </c>
      <c r="H1484" s="475" t="s">
        <v>1230</v>
      </c>
      <c r="I1484" s="487" t="s">
        <v>504</v>
      </c>
      <c r="J1484" s="509">
        <v>623.29999999999995</v>
      </c>
    </row>
    <row r="1485" spans="1:10" ht="20.25" customHeight="1">
      <c r="A1485" s="471">
        <v>5111</v>
      </c>
      <c r="B1485" s="474" t="s">
        <v>1217</v>
      </c>
      <c r="C1485" s="473">
        <v>141</v>
      </c>
      <c r="D1485" s="478">
        <v>15</v>
      </c>
      <c r="E1485" s="474">
        <v>38867</v>
      </c>
      <c r="F1485" s="475" t="s">
        <v>446</v>
      </c>
      <c r="G1485" s="476">
        <v>14</v>
      </c>
      <c r="H1485" s="475" t="s">
        <v>1230</v>
      </c>
      <c r="I1485" s="487" t="s">
        <v>504</v>
      </c>
      <c r="J1485" s="509">
        <v>623.29999999999995</v>
      </c>
    </row>
    <row r="1486" spans="1:10" ht="20.25" customHeight="1">
      <c r="A1486" s="471">
        <v>5111</v>
      </c>
      <c r="B1486" s="474" t="s">
        <v>1217</v>
      </c>
      <c r="C1486" s="473">
        <v>142</v>
      </c>
      <c r="D1486" s="478">
        <v>15</v>
      </c>
      <c r="E1486" s="474">
        <v>38867</v>
      </c>
      <c r="F1486" s="475" t="s">
        <v>446</v>
      </c>
      <c r="G1486" s="476">
        <v>14</v>
      </c>
      <c r="H1486" s="475" t="s">
        <v>1230</v>
      </c>
      <c r="I1486" s="487" t="s">
        <v>504</v>
      </c>
      <c r="J1486" s="509">
        <v>623.29999999999995</v>
      </c>
    </row>
    <row r="1487" spans="1:10" ht="20.25" customHeight="1">
      <c r="A1487" s="471">
        <v>5111</v>
      </c>
      <c r="B1487" s="474" t="s">
        <v>1217</v>
      </c>
      <c r="C1487" s="473">
        <v>143</v>
      </c>
      <c r="D1487" s="478">
        <v>15</v>
      </c>
      <c r="E1487" s="474">
        <v>38867</v>
      </c>
      <c r="F1487" s="475" t="s">
        <v>446</v>
      </c>
      <c r="G1487" s="476">
        <v>12</v>
      </c>
      <c r="H1487" s="475" t="s">
        <v>1231</v>
      </c>
      <c r="I1487" s="487" t="s">
        <v>1232</v>
      </c>
      <c r="J1487" s="509">
        <v>718.75</v>
      </c>
    </row>
    <row r="1488" spans="1:10" ht="20.25" customHeight="1">
      <c r="A1488" s="471">
        <v>5111</v>
      </c>
      <c r="B1488" s="474" t="s">
        <v>1217</v>
      </c>
      <c r="C1488" s="473">
        <v>144</v>
      </c>
      <c r="D1488" s="478">
        <v>15</v>
      </c>
      <c r="E1488" s="474">
        <v>38867</v>
      </c>
      <c r="F1488" s="475" t="s">
        <v>446</v>
      </c>
      <c r="G1488" s="476">
        <v>12</v>
      </c>
      <c r="H1488" s="475" t="s">
        <v>1231</v>
      </c>
      <c r="I1488" s="487" t="s">
        <v>1232</v>
      </c>
      <c r="J1488" s="509">
        <v>718.75</v>
      </c>
    </row>
    <row r="1489" spans="1:10" ht="20.25" customHeight="1">
      <c r="A1489" s="471">
        <v>5111</v>
      </c>
      <c r="B1489" s="474" t="s">
        <v>1217</v>
      </c>
      <c r="C1489" s="473">
        <v>145</v>
      </c>
      <c r="D1489" s="478">
        <v>15</v>
      </c>
      <c r="E1489" s="474">
        <v>38867</v>
      </c>
      <c r="F1489" s="475" t="s">
        <v>446</v>
      </c>
      <c r="G1489" s="476">
        <v>12</v>
      </c>
      <c r="H1489" s="475" t="s">
        <v>1231</v>
      </c>
      <c r="I1489" s="487" t="s">
        <v>1232</v>
      </c>
      <c r="J1489" s="509">
        <v>718.75</v>
      </c>
    </row>
    <row r="1490" spans="1:10" ht="20.25" customHeight="1">
      <c r="A1490" s="471">
        <v>5111</v>
      </c>
      <c r="B1490" s="474" t="s">
        <v>1217</v>
      </c>
      <c r="C1490" s="473">
        <v>146</v>
      </c>
      <c r="D1490" s="478">
        <v>15</v>
      </c>
      <c r="E1490" s="474">
        <v>38867</v>
      </c>
      <c r="F1490" s="475" t="s">
        <v>446</v>
      </c>
      <c r="G1490" s="476">
        <v>12</v>
      </c>
      <c r="H1490" s="475" t="s">
        <v>1231</v>
      </c>
      <c r="I1490" s="487" t="s">
        <v>1232</v>
      </c>
      <c r="J1490" s="509">
        <v>718.75</v>
      </c>
    </row>
    <row r="1491" spans="1:10" ht="20.25" customHeight="1">
      <c r="A1491" s="471">
        <v>5111</v>
      </c>
      <c r="B1491" s="474" t="s">
        <v>1217</v>
      </c>
      <c r="C1491" s="473">
        <v>147</v>
      </c>
      <c r="D1491" s="478">
        <v>15</v>
      </c>
      <c r="E1491" s="474">
        <v>38867</v>
      </c>
      <c r="F1491" s="475" t="s">
        <v>446</v>
      </c>
      <c r="G1491" s="476">
        <v>12</v>
      </c>
      <c r="H1491" s="475" t="s">
        <v>1231</v>
      </c>
      <c r="I1491" s="487" t="s">
        <v>1232</v>
      </c>
      <c r="J1491" s="509">
        <v>718.75</v>
      </c>
    </row>
    <row r="1492" spans="1:10" ht="20.25" customHeight="1">
      <c r="A1492" s="471">
        <v>5111</v>
      </c>
      <c r="B1492" s="474" t="s">
        <v>1217</v>
      </c>
      <c r="C1492" s="473">
        <v>148</v>
      </c>
      <c r="D1492" s="478">
        <v>15</v>
      </c>
      <c r="E1492" s="474">
        <v>38867</v>
      </c>
      <c r="F1492" s="475" t="s">
        <v>446</v>
      </c>
      <c r="G1492" s="476">
        <v>12</v>
      </c>
      <c r="H1492" s="475" t="s">
        <v>1231</v>
      </c>
      <c r="I1492" s="487" t="s">
        <v>1232</v>
      </c>
      <c r="J1492" s="509">
        <v>718.75</v>
      </c>
    </row>
    <row r="1493" spans="1:10" ht="20.25" customHeight="1">
      <c r="A1493" s="471">
        <v>5111</v>
      </c>
      <c r="B1493" s="474" t="s">
        <v>1217</v>
      </c>
      <c r="C1493" s="473">
        <v>149</v>
      </c>
      <c r="D1493" s="478">
        <v>15</v>
      </c>
      <c r="E1493" s="474">
        <v>38867</v>
      </c>
      <c r="F1493" s="475" t="s">
        <v>446</v>
      </c>
      <c r="G1493" s="476">
        <v>12</v>
      </c>
      <c r="H1493" s="475" t="s">
        <v>1231</v>
      </c>
      <c r="I1493" s="487" t="s">
        <v>1232</v>
      </c>
      <c r="J1493" s="509">
        <v>718.75</v>
      </c>
    </row>
    <row r="1494" spans="1:10" ht="20.25" customHeight="1">
      <c r="A1494" s="471">
        <v>5111</v>
      </c>
      <c r="B1494" s="474" t="s">
        <v>1217</v>
      </c>
      <c r="C1494" s="473">
        <v>150</v>
      </c>
      <c r="D1494" s="478">
        <v>15</v>
      </c>
      <c r="E1494" s="474">
        <v>38867</v>
      </c>
      <c r="F1494" s="475" t="s">
        <v>446</v>
      </c>
      <c r="G1494" s="476">
        <v>12</v>
      </c>
      <c r="H1494" s="475" t="s">
        <v>1231</v>
      </c>
      <c r="I1494" s="487" t="s">
        <v>1232</v>
      </c>
      <c r="J1494" s="509">
        <v>718.75</v>
      </c>
    </row>
    <row r="1495" spans="1:10" ht="20.25" customHeight="1">
      <c r="A1495" s="471">
        <v>5111</v>
      </c>
      <c r="B1495" s="474" t="s">
        <v>1217</v>
      </c>
      <c r="C1495" s="473">
        <v>151</v>
      </c>
      <c r="D1495" s="478">
        <v>15</v>
      </c>
      <c r="E1495" s="474">
        <v>38867</v>
      </c>
      <c r="F1495" s="475" t="s">
        <v>446</v>
      </c>
      <c r="G1495" s="476">
        <v>12</v>
      </c>
      <c r="H1495" s="475" t="s">
        <v>1231</v>
      </c>
      <c r="I1495" s="487" t="s">
        <v>1232</v>
      </c>
      <c r="J1495" s="509">
        <v>718.75</v>
      </c>
    </row>
    <row r="1496" spans="1:10" ht="20.25" customHeight="1">
      <c r="A1496" s="471">
        <v>5111</v>
      </c>
      <c r="B1496" s="474" t="s">
        <v>1217</v>
      </c>
      <c r="C1496" s="473">
        <v>152</v>
      </c>
      <c r="D1496" s="478">
        <v>15</v>
      </c>
      <c r="E1496" s="474">
        <v>38867</v>
      </c>
      <c r="F1496" s="475" t="s">
        <v>446</v>
      </c>
      <c r="G1496" s="476">
        <v>12</v>
      </c>
      <c r="H1496" s="475" t="s">
        <v>1231</v>
      </c>
      <c r="I1496" s="487" t="s">
        <v>1232</v>
      </c>
      <c r="J1496" s="509">
        <v>718.75</v>
      </c>
    </row>
    <row r="1497" spans="1:10" ht="20.25" customHeight="1">
      <c r="A1497" s="471">
        <v>5111</v>
      </c>
      <c r="B1497" s="474" t="s">
        <v>1217</v>
      </c>
      <c r="C1497" s="473">
        <v>153</v>
      </c>
      <c r="D1497" s="478">
        <v>15</v>
      </c>
      <c r="E1497" s="474">
        <v>38867</v>
      </c>
      <c r="F1497" s="475" t="s">
        <v>446</v>
      </c>
      <c r="G1497" s="476">
        <v>12</v>
      </c>
      <c r="H1497" s="475" t="s">
        <v>1231</v>
      </c>
      <c r="I1497" s="487" t="s">
        <v>1232</v>
      </c>
      <c r="J1497" s="509">
        <v>718.75</v>
      </c>
    </row>
    <row r="1498" spans="1:10" ht="20.25" customHeight="1">
      <c r="A1498" s="471">
        <v>5111</v>
      </c>
      <c r="B1498" s="474" t="s">
        <v>1217</v>
      </c>
      <c r="C1498" s="473">
        <v>154</v>
      </c>
      <c r="D1498" s="478">
        <v>15</v>
      </c>
      <c r="E1498" s="474">
        <v>38867</v>
      </c>
      <c r="F1498" s="475" t="s">
        <v>446</v>
      </c>
      <c r="G1498" s="476">
        <v>12</v>
      </c>
      <c r="H1498" s="475" t="s">
        <v>1231</v>
      </c>
      <c r="I1498" s="487" t="s">
        <v>1232</v>
      </c>
      <c r="J1498" s="509">
        <v>718.75</v>
      </c>
    </row>
    <row r="1499" spans="1:10" ht="20.25" customHeight="1">
      <c r="A1499" s="471">
        <v>5111</v>
      </c>
      <c r="B1499" s="474" t="s">
        <v>1217</v>
      </c>
      <c r="C1499" s="473">
        <v>155</v>
      </c>
      <c r="D1499" s="478">
        <v>15</v>
      </c>
      <c r="E1499" s="474">
        <v>38867</v>
      </c>
      <c r="F1499" s="475" t="s">
        <v>446</v>
      </c>
      <c r="G1499" s="476">
        <v>12</v>
      </c>
      <c r="H1499" s="475" t="s">
        <v>1231</v>
      </c>
      <c r="I1499" s="487" t="s">
        <v>1232</v>
      </c>
      <c r="J1499" s="509">
        <v>718.75</v>
      </c>
    </row>
    <row r="1500" spans="1:10" ht="20.25" customHeight="1">
      <c r="A1500" s="471">
        <v>5111</v>
      </c>
      <c r="B1500" s="474" t="s">
        <v>1217</v>
      </c>
      <c r="C1500" s="473">
        <v>156</v>
      </c>
      <c r="D1500" s="478">
        <v>15</v>
      </c>
      <c r="E1500" s="474">
        <v>38867</v>
      </c>
      <c r="F1500" s="475" t="s">
        <v>446</v>
      </c>
      <c r="G1500" s="476">
        <v>12</v>
      </c>
      <c r="H1500" s="475" t="s">
        <v>1231</v>
      </c>
      <c r="I1500" s="487" t="s">
        <v>1232</v>
      </c>
      <c r="J1500" s="509">
        <v>718.75</v>
      </c>
    </row>
    <row r="1501" spans="1:10" ht="20.25" customHeight="1">
      <c r="A1501" s="471">
        <v>5111</v>
      </c>
      <c r="B1501" s="474" t="s">
        <v>1217</v>
      </c>
      <c r="C1501" s="473">
        <v>157</v>
      </c>
      <c r="D1501" s="478">
        <v>15</v>
      </c>
      <c r="E1501" s="474">
        <v>38867</v>
      </c>
      <c r="F1501" s="475" t="s">
        <v>446</v>
      </c>
      <c r="G1501" s="476">
        <v>12</v>
      </c>
      <c r="H1501" s="475" t="s">
        <v>1231</v>
      </c>
      <c r="I1501" s="487" t="s">
        <v>1232</v>
      </c>
      <c r="J1501" s="509">
        <v>718.75</v>
      </c>
    </row>
    <row r="1502" spans="1:10" ht="20.25" customHeight="1">
      <c r="A1502" s="471">
        <v>5111</v>
      </c>
      <c r="B1502" s="474" t="s">
        <v>1217</v>
      </c>
      <c r="C1502" s="473">
        <v>158</v>
      </c>
      <c r="D1502" s="478">
        <v>15</v>
      </c>
      <c r="E1502" s="474">
        <v>38867</v>
      </c>
      <c r="F1502" s="475" t="s">
        <v>446</v>
      </c>
      <c r="G1502" s="476">
        <v>12</v>
      </c>
      <c r="H1502" s="475" t="s">
        <v>1231</v>
      </c>
      <c r="I1502" s="487" t="s">
        <v>1232</v>
      </c>
      <c r="J1502" s="509">
        <v>718.75</v>
      </c>
    </row>
    <row r="1503" spans="1:10" ht="20.25" customHeight="1">
      <c r="A1503" s="471">
        <v>5111</v>
      </c>
      <c r="B1503" s="474" t="s">
        <v>1217</v>
      </c>
      <c r="C1503" s="473">
        <v>159</v>
      </c>
      <c r="D1503" s="478">
        <v>15</v>
      </c>
      <c r="E1503" s="474">
        <v>38867</v>
      </c>
      <c r="F1503" s="475" t="s">
        <v>446</v>
      </c>
      <c r="G1503" s="476">
        <v>12</v>
      </c>
      <c r="H1503" s="475" t="s">
        <v>1231</v>
      </c>
      <c r="I1503" s="487" t="s">
        <v>1232</v>
      </c>
      <c r="J1503" s="509">
        <v>718.75</v>
      </c>
    </row>
    <row r="1504" spans="1:10" ht="20.25" customHeight="1">
      <c r="A1504" s="471">
        <v>5111</v>
      </c>
      <c r="B1504" s="474" t="s">
        <v>1217</v>
      </c>
      <c r="C1504" s="473">
        <v>160</v>
      </c>
      <c r="D1504" s="478">
        <v>15</v>
      </c>
      <c r="E1504" s="474">
        <v>38867</v>
      </c>
      <c r="F1504" s="475" t="s">
        <v>446</v>
      </c>
      <c r="G1504" s="476">
        <v>12</v>
      </c>
      <c r="H1504" s="475" t="s">
        <v>1231</v>
      </c>
      <c r="I1504" s="487" t="s">
        <v>1232</v>
      </c>
      <c r="J1504" s="509">
        <v>718.75</v>
      </c>
    </row>
    <row r="1505" spans="1:10" ht="20.25" customHeight="1">
      <c r="A1505" s="471">
        <v>5111</v>
      </c>
      <c r="B1505" s="474" t="s">
        <v>1217</v>
      </c>
      <c r="C1505" s="473">
        <v>161</v>
      </c>
      <c r="D1505" s="478">
        <v>15</v>
      </c>
      <c r="E1505" s="474">
        <v>38867</v>
      </c>
      <c r="F1505" s="475" t="s">
        <v>446</v>
      </c>
      <c r="G1505" s="476">
        <v>12</v>
      </c>
      <c r="H1505" s="475" t="s">
        <v>1231</v>
      </c>
      <c r="I1505" s="487" t="s">
        <v>1232</v>
      </c>
      <c r="J1505" s="509">
        <v>718.75</v>
      </c>
    </row>
    <row r="1506" spans="1:10" ht="20.25" customHeight="1">
      <c r="A1506" s="471">
        <v>5111</v>
      </c>
      <c r="B1506" s="474" t="s">
        <v>1217</v>
      </c>
      <c r="C1506" s="473">
        <v>162</v>
      </c>
      <c r="D1506" s="478">
        <v>15</v>
      </c>
      <c r="E1506" s="474">
        <v>38867</v>
      </c>
      <c r="F1506" s="475" t="s">
        <v>446</v>
      </c>
      <c r="G1506" s="476">
        <v>12</v>
      </c>
      <c r="H1506" s="475" t="s">
        <v>1231</v>
      </c>
      <c r="I1506" s="487" t="s">
        <v>1232</v>
      </c>
      <c r="J1506" s="509">
        <v>718.75</v>
      </c>
    </row>
    <row r="1507" spans="1:10" ht="20.25" customHeight="1">
      <c r="A1507" s="471">
        <v>5111</v>
      </c>
      <c r="B1507" s="474" t="s">
        <v>1217</v>
      </c>
      <c r="C1507" s="473">
        <v>163</v>
      </c>
      <c r="D1507" s="478">
        <v>15</v>
      </c>
      <c r="E1507" s="474">
        <v>38867</v>
      </c>
      <c r="F1507" s="475" t="s">
        <v>446</v>
      </c>
      <c r="G1507" s="476">
        <v>12</v>
      </c>
      <c r="H1507" s="475" t="s">
        <v>1231</v>
      </c>
      <c r="I1507" s="487" t="s">
        <v>1232</v>
      </c>
      <c r="J1507" s="509">
        <v>718.75</v>
      </c>
    </row>
    <row r="1508" spans="1:10" ht="20.25" customHeight="1">
      <c r="A1508" s="471">
        <v>5111</v>
      </c>
      <c r="B1508" s="474" t="s">
        <v>1217</v>
      </c>
      <c r="C1508" s="473">
        <v>164</v>
      </c>
      <c r="D1508" s="478">
        <v>15</v>
      </c>
      <c r="E1508" s="474">
        <v>38867</v>
      </c>
      <c r="F1508" s="475" t="s">
        <v>446</v>
      </c>
      <c r="G1508" s="476">
        <v>12</v>
      </c>
      <c r="H1508" s="475" t="s">
        <v>1231</v>
      </c>
      <c r="I1508" s="487" t="s">
        <v>1232</v>
      </c>
      <c r="J1508" s="509">
        <v>718.75</v>
      </c>
    </row>
    <row r="1509" spans="1:10" ht="20.25" customHeight="1">
      <c r="A1509" s="471">
        <v>5111</v>
      </c>
      <c r="B1509" s="474" t="s">
        <v>1217</v>
      </c>
      <c r="C1509" s="473">
        <v>165</v>
      </c>
      <c r="D1509" s="478">
        <v>15</v>
      </c>
      <c r="E1509" s="474">
        <v>38867</v>
      </c>
      <c r="F1509" s="475" t="s">
        <v>446</v>
      </c>
      <c r="G1509" s="476">
        <v>12</v>
      </c>
      <c r="H1509" s="475" t="s">
        <v>1231</v>
      </c>
      <c r="I1509" s="487" t="s">
        <v>1232</v>
      </c>
      <c r="J1509" s="509">
        <v>718.75</v>
      </c>
    </row>
    <row r="1510" spans="1:10" ht="20.25" customHeight="1">
      <c r="A1510" s="471">
        <v>5111</v>
      </c>
      <c r="B1510" s="474" t="s">
        <v>1217</v>
      </c>
      <c r="C1510" s="473">
        <v>166</v>
      </c>
      <c r="D1510" s="478">
        <v>15</v>
      </c>
      <c r="E1510" s="474">
        <v>38867</v>
      </c>
      <c r="F1510" s="475" t="s">
        <v>446</v>
      </c>
      <c r="G1510" s="476">
        <v>12</v>
      </c>
      <c r="H1510" s="475" t="s">
        <v>1231</v>
      </c>
      <c r="I1510" s="487" t="s">
        <v>1232</v>
      </c>
      <c r="J1510" s="509">
        <v>718.75</v>
      </c>
    </row>
    <row r="1511" spans="1:10" ht="20.25" customHeight="1">
      <c r="A1511" s="471">
        <v>5111</v>
      </c>
      <c r="B1511" s="474" t="s">
        <v>1217</v>
      </c>
      <c r="C1511" s="473">
        <v>167</v>
      </c>
      <c r="D1511" s="478">
        <v>15</v>
      </c>
      <c r="E1511" s="474">
        <v>38867</v>
      </c>
      <c r="F1511" s="475" t="s">
        <v>446</v>
      </c>
      <c r="G1511" s="476">
        <v>12</v>
      </c>
      <c r="H1511" s="475" t="s">
        <v>1231</v>
      </c>
      <c r="I1511" s="487" t="s">
        <v>1232</v>
      </c>
      <c r="J1511" s="509">
        <v>718.75</v>
      </c>
    </row>
    <row r="1512" spans="1:10" ht="20.25" customHeight="1">
      <c r="A1512" s="471">
        <v>5111</v>
      </c>
      <c r="B1512" s="474" t="s">
        <v>1217</v>
      </c>
      <c r="C1512" s="473">
        <v>168</v>
      </c>
      <c r="D1512" s="478">
        <v>15</v>
      </c>
      <c r="E1512" s="474">
        <v>38867</v>
      </c>
      <c r="F1512" s="475" t="s">
        <v>446</v>
      </c>
      <c r="G1512" s="476">
        <v>12</v>
      </c>
      <c r="H1512" s="475" t="s">
        <v>1231</v>
      </c>
      <c r="I1512" s="487" t="s">
        <v>1232</v>
      </c>
      <c r="J1512" s="509">
        <v>718.75</v>
      </c>
    </row>
    <row r="1513" spans="1:10" ht="20.25" customHeight="1">
      <c r="A1513" s="471">
        <v>5111</v>
      </c>
      <c r="B1513" s="474" t="s">
        <v>1217</v>
      </c>
      <c r="C1513" s="473">
        <v>169</v>
      </c>
      <c r="D1513" s="478">
        <v>15</v>
      </c>
      <c r="E1513" s="474">
        <v>38867</v>
      </c>
      <c r="F1513" s="475" t="s">
        <v>446</v>
      </c>
      <c r="G1513" s="476">
        <v>12</v>
      </c>
      <c r="H1513" s="475" t="s">
        <v>1231</v>
      </c>
      <c r="I1513" s="487" t="s">
        <v>1232</v>
      </c>
      <c r="J1513" s="509">
        <v>718.75</v>
      </c>
    </row>
    <row r="1514" spans="1:10" ht="20.25" customHeight="1">
      <c r="A1514" s="471">
        <v>5111</v>
      </c>
      <c r="B1514" s="474" t="s">
        <v>1217</v>
      </c>
      <c r="C1514" s="473">
        <v>170</v>
      </c>
      <c r="D1514" s="478">
        <v>15</v>
      </c>
      <c r="E1514" s="474">
        <v>38867</v>
      </c>
      <c r="F1514" s="475" t="s">
        <v>446</v>
      </c>
      <c r="G1514" s="476">
        <v>12</v>
      </c>
      <c r="H1514" s="475" t="s">
        <v>1231</v>
      </c>
      <c r="I1514" s="487" t="s">
        <v>1232</v>
      </c>
      <c r="J1514" s="509">
        <v>718.75</v>
      </c>
    </row>
    <row r="1515" spans="1:10" ht="20.25" customHeight="1">
      <c r="A1515" s="471">
        <v>5111</v>
      </c>
      <c r="B1515" s="474" t="s">
        <v>1217</v>
      </c>
      <c r="C1515" s="473">
        <v>171</v>
      </c>
      <c r="D1515" s="478">
        <v>15</v>
      </c>
      <c r="E1515" s="474">
        <v>38867</v>
      </c>
      <c r="F1515" s="475" t="s">
        <v>446</v>
      </c>
      <c r="G1515" s="476">
        <v>12</v>
      </c>
      <c r="H1515" s="475" t="s">
        <v>1231</v>
      </c>
      <c r="I1515" s="487" t="s">
        <v>1232</v>
      </c>
      <c r="J1515" s="509">
        <v>718.75</v>
      </c>
    </row>
    <row r="1516" spans="1:10" ht="20.25" customHeight="1">
      <c r="A1516" s="471">
        <v>5111</v>
      </c>
      <c r="B1516" s="474" t="s">
        <v>1217</v>
      </c>
      <c r="C1516" s="473">
        <v>172</v>
      </c>
      <c r="D1516" s="478">
        <v>15</v>
      </c>
      <c r="E1516" s="474">
        <v>38867</v>
      </c>
      <c r="F1516" s="475" t="s">
        <v>446</v>
      </c>
      <c r="G1516" s="476">
        <v>12</v>
      </c>
      <c r="H1516" s="475" t="s">
        <v>1231</v>
      </c>
      <c r="I1516" s="487" t="s">
        <v>1232</v>
      </c>
      <c r="J1516" s="509">
        <v>718.75</v>
      </c>
    </row>
    <row r="1517" spans="1:10" ht="20.25" customHeight="1">
      <c r="A1517" s="471">
        <v>5111</v>
      </c>
      <c r="B1517" s="474" t="s">
        <v>1217</v>
      </c>
      <c r="C1517" s="473">
        <v>173</v>
      </c>
      <c r="D1517" s="478">
        <v>15</v>
      </c>
      <c r="E1517" s="474">
        <v>38867</v>
      </c>
      <c r="F1517" s="475" t="s">
        <v>446</v>
      </c>
      <c r="G1517" s="476">
        <v>12</v>
      </c>
      <c r="H1517" s="475" t="s">
        <v>1231</v>
      </c>
      <c r="I1517" s="487" t="s">
        <v>1232</v>
      </c>
      <c r="J1517" s="509">
        <v>718.75</v>
      </c>
    </row>
    <row r="1518" spans="1:10" ht="20.25" customHeight="1">
      <c r="A1518" s="471">
        <v>5111</v>
      </c>
      <c r="B1518" s="474" t="s">
        <v>1217</v>
      </c>
      <c r="C1518" s="473">
        <v>174</v>
      </c>
      <c r="D1518" s="478">
        <v>15</v>
      </c>
      <c r="E1518" s="474">
        <v>38867</v>
      </c>
      <c r="F1518" s="475" t="s">
        <v>446</v>
      </c>
      <c r="G1518" s="476">
        <v>12</v>
      </c>
      <c r="H1518" s="475" t="s">
        <v>1231</v>
      </c>
      <c r="I1518" s="487" t="s">
        <v>1232</v>
      </c>
      <c r="J1518" s="509">
        <v>718.75</v>
      </c>
    </row>
    <row r="1519" spans="1:10" ht="20.25" customHeight="1">
      <c r="A1519" s="471">
        <v>5111</v>
      </c>
      <c r="B1519" s="474" t="s">
        <v>1217</v>
      </c>
      <c r="C1519" s="473">
        <v>175</v>
      </c>
      <c r="D1519" s="478">
        <v>15</v>
      </c>
      <c r="E1519" s="474">
        <v>38867</v>
      </c>
      <c r="F1519" s="475" t="s">
        <v>446</v>
      </c>
      <c r="G1519" s="476">
        <v>12</v>
      </c>
      <c r="H1519" s="475" t="s">
        <v>1231</v>
      </c>
      <c r="I1519" s="487" t="s">
        <v>1232</v>
      </c>
      <c r="J1519" s="509">
        <v>718.75</v>
      </c>
    </row>
    <row r="1520" spans="1:10" ht="20.25" customHeight="1">
      <c r="A1520" s="471">
        <v>5111</v>
      </c>
      <c r="B1520" s="474" t="s">
        <v>1217</v>
      </c>
      <c r="C1520" s="473">
        <v>176</v>
      </c>
      <c r="D1520" s="478">
        <v>15</v>
      </c>
      <c r="E1520" s="474">
        <v>38867</v>
      </c>
      <c r="F1520" s="475" t="s">
        <v>446</v>
      </c>
      <c r="G1520" s="476">
        <v>12</v>
      </c>
      <c r="H1520" s="475" t="s">
        <v>1231</v>
      </c>
      <c r="I1520" s="487" t="s">
        <v>1232</v>
      </c>
      <c r="J1520" s="509">
        <v>718.75</v>
      </c>
    </row>
    <row r="1521" spans="1:10" ht="20.25" customHeight="1">
      <c r="A1521" s="471">
        <v>5111</v>
      </c>
      <c r="B1521" s="474" t="s">
        <v>1217</v>
      </c>
      <c r="C1521" s="473">
        <v>177</v>
      </c>
      <c r="D1521" s="478">
        <v>15</v>
      </c>
      <c r="E1521" s="474">
        <v>38867</v>
      </c>
      <c r="F1521" s="475" t="s">
        <v>446</v>
      </c>
      <c r="G1521" s="476">
        <v>12</v>
      </c>
      <c r="H1521" s="475" t="s">
        <v>1231</v>
      </c>
      <c r="I1521" s="487" t="s">
        <v>1232</v>
      </c>
      <c r="J1521" s="509">
        <v>718.75</v>
      </c>
    </row>
    <row r="1522" spans="1:10" ht="20.25" customHeight="1">
      <c r="A1522" s="471">
        <v>5111</v>
      </c>
      <c r="B1522" s="474" t="s">
        <v>1217</v>
      </c>
      <c r="C1522" s="473">
        <v>178</v>
      </c>
      <c r="D1522" s="478">
        <v>15</v>
      </c>
      <c r="E1522" s="474">
        <v>38867</v>
      </c>
      <c r="F1522" s="475" t="s">
        <v>446</v>
      </c>
      <c r="G1522" s="476">
        <v>12</v>
      </c>
      <c r="H1522" s="475" t="s">
        <v>1231</v>
      </c>
      <c r="I1522" s="487" t="s">
        <v>1232</v>
      </c>
      <c r="J1522" s="509">
        <v>718.75</v>
      </c>
    </row>
    <row r="1523" spans="1:10" ht="20.25" customHeight="1">
      <c r="A1523" s="471">
        <v>5111</v>
      </c>
      <c r="B1523" s="474" t="s">
        <v>1217</v>
      </c>
      <c r="C1523" s="473">
        <v>179</v>
      </c>
      <c r="D1523" s="478">
        <v>15</v>
      </c>
      <c r="E1523" s="474">
        <v>38867</v>
      </c>
      <c r="F1523" s="475" t="s">
        <v>446</v>
      </c>
      <c r="G1523" s="476">
        <v>12</v>
      </c>
      <c r="H1523" s="475" t="s">
        <v>1231</v>
      </c>
      <c r="I1523" s="487" t="s">
        <v>1232</v>
      </c>
      <c r="J1523" s="509">
        <v>718.75</v>
      </c>
    </row>
    <row r="1524" spans="1:10" ht="20.25" customHeight="1">
      <c r="A1524" s="471">
        <v>5111</v>
      </c>
      <c r="B1524" s="474" t="s">
        <v>1217</v>
      </c>
      <c r="C1524" s="473">
        <v>180</v>
      </c>
      <c r="D1524" s="478">
        <v>15</v>
      </c>
      <c r="E1524" s="474">
        <v>38867</v>
      </c>
      <c r="F1524" s="475" t="s">
        <v>446</v>
      </c>
      <c r="G1524" s="476">
        <v>12</v>
      </c>
      <c r="H1524" s="475" t="s">
        <v>1231</v>
      </c>
      <c r="I1524" s="487" t="s">
        <v>1232</v>
      </c>
      <c r="J1524" s="509">
        <v>718.75</v>
      </c>
    </row>
    <row r="1525" spans="1:10" ht="20.25" customHeight="1">
      <c r="A1525" s="471">
        <v>5111</v>
      </c>
      <c r="B1525" s="474" t="s">
        <v>1217</v>
      </c>
      <c r="C1525" s="473">
        <v>181</v>
      </c>
      <c r="D1525" s="478">
        <v>15</v>
      </c>
      <c r="E1525" s="474">
        <v>38867</v>
      </c>
      <c r="F1525" s="475" t="s">
        <v>446</v>
      </c>
      <c r="G1525" s="476">
        <v>12</v>
      </c>
      <c r="H1525" s="475" t="s">
        <v>1231</v>
      </c>
      <c r="I1525" s="487" t="s">
        <v>1232</v>
      </c>
      <c r="J1525" s="509">
        <v>718.75</v>
      </c>
    </row>
    <row r="1526" spans="1:10" ht="20.25" customHeight="1">
      <c r="A1526" s="471">
        <v>5111</v>
      </c>
      <c r="B1526" s="474" t="s">
        <v>1217</v>
      </c>
      <c r="C1526" s="473">
        <v>182</v>
      </c>
      <c r="D1526" s="478">
        <v>15</v>
      </c>
      <c r="E1526" s="474">
        <v>38867</v>
      </c>
      <c r="F1526" s="475" t="s">
        <v>446</v>
      </c>
      <c r="G1526" s="476">
        <v>12</v>
      </c>
      <c r="H1526" s="475" t="s">
        <v>1231</v>
      </c>
      <c r="I1526" s="487" t="s">
        <v>1232</v>
      </c>
      <c r="J1526" s="509">
        <v>718.75</v>
      </c>
    </row>
    <row r="1527" spans="1:10" ht="20.25" customHeight="1">
      <c r="A1527" s="471">
        <v>5111</v>
      </c>
      <c r="B1527" s="474" t="s">
        <v>1217</v>
      </c>
      <c r="C1527" s="473">
        <v>183</v>
      </c>
      <c r="D1527" s="478">
        <v>15</v>
      </c>
      <c r="E1527" s="474">
        <v>38867</v>
      </c>
      <c r="F1527" s="475" t="s">
        <v>446</v>
      </c>
      <c r="G1527" s="476">
        <v>12</v>
      </c>
      <c r="H1527" s="475" t="s">
        <v>1231</v>
      </c>
      <c r="I1527" s="487" t="s">
        <v>1232</v>
      </c>
      <c r="J1527" s="509">
        <v>718.75</v>
      </c>
    </row>
    <row r="1528" spans="1:10" ht="20.25" customHeight="1">
      <c r="A1528" s="471">
        <v>5111</v>
      </c>
      <c r="B1528" s="474" t="s">
        <v>1217</v>
      </c>
      <c r="C1528" s="473">
        <v>184</v>
      </c>
      <c r="D1528" s="478">
        <v>15</v>
      </c>
      <c r="E1528" s="474">
        <v>38867</v>
      </c>
      <c r="F1528" s="475" t="s">
        <v>446</v>
      </c>
      <c r="G1528" s="476">
        <v>12</v>
      </c>
      <c r="H1528" s="475" t="s">
        <v>1231</v>
      </c>
      <c r="I1528" s="487" t="s">
        <v>1232</v>
      </c>
      <c r="J1528" s="509">
        <v>718.75</v>
      </c>
    </row>
    <row r="1529" spans="1:10" ht="20.25" customHeight="1">
      <c r="A1529" s="471">
        <v>5111</v>
      </c>
      <c r="B1529" s="474" t="s">
        <v>1217</v>
      </c>
      <c r="C1529" s="473">
        <v>185</v>
      </c>
      <c r="D1529" s="478">
        <v>15</v>
      </c>
      <c r="E1529" s="474">
        <v>38867</v>
      </c>
      <c r="F1529" s="475" t="s">
        <v>446</v>
      </c>
      <c r="G1529" s="476">
        <v>12</v>
      </c>
      <c r="H1529" s="475" t="s">
        <v>1231</v>
      </c>
      <c r="I1529" s="487" t="s">
        <v>1232</v>
      </c>
      <c r="J1529" s="509">
        <v>718.75</v>
      </c>
    </row>
    <row r="1530" spans="1:10" ht="20.25" customHeight="1">
      <c r="A1530" s="471">
        <v>5111</v>
      </c>
      <c r="B1530" s="474" t="s">
        <v>1217</v>
      </c>
      <c r="C1530" s="473">
        <v>186</v>
      </c>
      <c r="D1530" s="478">
        <v>15</v>
      </c>
      <c r="E1530" s="474">
        <v>38867</v>
      </c>
      <c r="F1530" s="475" t="s">
        <v>446</v>
      </c>
      <c r="G1530" s="476">
        <v>12</v>
      </c>
      <c r="H1530" s="475" t="s">
        <v>1231</v>
      </c>
      <c r="I1530" s="487" t="s">
        <v>1232</v>
      </c>
      <c r="J1530" s="509">
        <v>718.75</v>
      </c>
    </row>
    <row r="1531" spans="1:10" ht="20.25" customHeight="1">
      <c r="A1531" s="471">
        <v>5111</v>
      </c>
      <c r="B1531" s="474" t="s">
        <v>1217</v>
      </c>
      <c r="C1531" s="473">
        <v>187</v>
      </c>
      <c r="D1531" s="478">
        <v>15</v>
      </c>
      <c r="E1531" s="474">
        <v>38867</v>
      </c>
      <c r="F1531" s="475" t="s">
        <v>446</v>
      </c>
      <c r="G1531" s="476">
        <v>12</v>
      </c>
      <c r="H1531" s="475" t="s">
        <v>1231</v>
      </c>
      <c r="I1531" s="487" t="s">
        <v>1232</v>
      </c>
      <c r="J1531" s="509">
        <v>718.75</v>
      </c>
    </row>
    <row r="1532" spans="1:10" ht="20.25" customHeight="1">
      <c r="A1532" s="471">
        <v>5111</v>
      </c>
      <c r="B1532" s="474" t="s">
        <v>1217</v>
      </c>
      <c r="C1532" s="473">
        <v>188</v>
      </c>
      <c r="D1532" s="478">
        <v>15</v>
      </c>
      <c r="E1532" s="474">
        <v>38867</v>
      </c>
      <c r="F1532" s="475" t="s">
        <v>446</v>
      </c>
      <c r="G1532" s="476">
        <v>12</v>
      </c>
      <c r="H1532" s="475" t="s">
        <v>1231</v>
      </c>
      <c r="I1532" s="487" t="s">
        <v>1232</v>
      </c>
      <c r="J1532" s="509">
        <v>718.75</v>
      </c>
    </row>
    <row r="1533" spans="1:10" ht="20.25" customHeight="1">
      <c r="A1533" s="471">
        <v>5111</v>
      </c>
      <c r="B1533" s="474" t="s">
        <v>1217</v>
      </c>
      <c r="C1533" s="473">
        <v>189</v>
      </c>
      <c r="D1533" s="478">
        <v>15</v>
      </c>
      <c r="E1533" s="474">
        <v>38867</v>
      </c>
      <c r="F1533" s="475" t="s">
        <v>446</v>
      </c>
      <c r="G1533" s="476">
        <v>12</v>
      </c>
      <c r="H1533" s="475" t="s">
        <v>1231</v>
      </c>
      <c r="I1533" s="487" t="s">
        <v>1232</v>
      </c>
      <c r="J1533" s="509">
        <v>718.75</v>
      </c>
    </row>
    <row r="1534" spans="1:10" ht="20.25" customHeight="1">
      <c r="A1534" s="471">
        <v>5111</v>
      </c>
      <c r="B1534" s="474" t="s">
        <v>1217</v>
      </c>
      <c r="C1534" s="473">
        <v>190</v>
      </c>
      <c r="D1534" s="478">
        <v>15</v>
      </c>
      <c r="E1534" s="474">
        <v>38867</v>
      </c>
      <c r="F1534" s="475" t="s">
        <v>446</v>
      </c>
      <c r="G1534" s="476">
        <v>12</v>
      </c>
      <c r="H1534" s="475" t="s">
        <v>1231</v>
      </c>
      <c r="I1534" s="487" t="s">
        <v>1232</v>
      </c>
      <c r="J1534" s="509">
        <v>718.75</v>
      </c>
    </row>
    <row r="1535" spans="1:10" ht="20.25" customHeight="1">
      <c r="A1535" s="471">
        <v>5111</v>
      </c>
      <c r="B1535" s="474" t="s">
        <v>1217</v>
      </c>
      <c r="C1535" s="473">
        <v>191</v>
      </c>
      <c r="D1535" s="478">
        <v>15</v>
      </c>
      <c r="E1535" s="474">
        <v>38867</v>
      </c>
      <c r="F1535" s="475" t="s">
        <v>446</v>
      </c>
      <c r="G1535" s="476">
        <v>12</v>
      </c>
      <c r="H1535" s="475" t="s">
        <v>1231</v>
      </c>
      <c r="I1535" s="487" t="s">
        <v>1232</v>
      </c>
      <c r="J1535" s="509">
        <v>718.75</v>
      </c>
    </row>
    <row r="1536" spans="1:10" ht="20.25" customHeight="1">
      <c r="A1536" s="471">
        <v>5111</v>
      </c>
      <c r="B1536" s="474" t="s">
        <v>1217</v>
      </c>
      <c r="C1536" s="473">
        <v>192</v>
      </c>
      <c r="D1536" s="478">
        <v>15</v>
      </c>
      <c r="E1536" s="474">
        <v>38867</v>
      </c>
      <c r="F1536" s="475" t="s">
        <v>446</v>
      </c>
      <c r="G1536" s="476">
        <v>12</v>
      </c>
      <c r="H1536" s="475" t="s">
        <v>1231</v>
      </c>
      <c r="I1536" s="487" t="s">
        <v>1232</v>
      </c>
      <c r="J1536" s="509">
        <v>718.75</v>
      </c>
    </row>
    <row r="1537" spans="1:10" ht="20.25" customHeight="1">
      <c r="A1537" s="471">
        <v>5111</v>
      </c>
      <c r="B1537" s="474" t="s">
        <v>1217</v>
      </c>
      <c r="C1537" s="473">
        <v>193</v>
      </c>
      <c r="D1537" s="478">
        <v>15</v>
      </c>
      <c r="E1537" s="474">
        <v>38867</v>
      </c>
      <c r="F1537" s="475" t="s">
        <v>446</v>
      </c>
      <c r="G1537" s="476">
        <v>12</v>
      </c>
      <c r="H1537" s="475" t="s">
        <v>1231</v>
      </c>
      <c r="I1537" s="487" t="s">
        <v>1232</v>
      </c>
      <c r="J1537" s="509">
        <v>718.75</v>
      </c>
    </row>
    <row r="1538" spans="1:10" ht="20.25" customHeight="1">
      <c r="A1538" s="471">
        <v>5111</v>
      </c>
      <c r="B1538" s="474" t="s">
        <v>1217</v>
      </c>
      <c r="C1538" s="473">
        <v>194</v>
      </c>
      <c r="D1538" s="478">
        <v>15</v>
      </c>
      <c r="E1538" s="474">
        <v>38867</v>
      </c>
      <c r="F1538" s="475" t="s">
        <v>446</v>
      </c>
      <c r="G1538" s="476">
        <v>12</v>
      </c>
      <c r="H1538" s="475" t="s">
        <v>1231</v>
      </c>
      <c r="I1538" s="487" t="s">
        <v>1232</v>
      </c>
      <c r="J1538" s="509">
        <v>718.75</v>
      </c>
    </row>
    <row r="1539" spans="1:10" ht="20.25" customHeight="1">
      <c r="A1539" s="471">
        <v>5111</v>
      </c>
      <c r="B1539" s="474" t="s">
        <v>1217</v>
      </c>
      <c r="C1539" s="473">
        <v>195</v>
      </c>
      <c r="D1539" s="478">
        <v>15</v>
      </c>
      <c r="E1539" s="474">
        <v>38867</v>
      </c>
      <c r="F1539" s="475" t="s">
        <v>446</v>
      </c>
      <c r="G1539" s="476">
        <v>12</v>
      </c>
      <c r="H1539" s="475" t="s">
        <v>1231</v>
      </c>
      <c r="I1539" s="487" t="s">
        <v>1232</v>
      </c>
      <c r="J1539" s="509">
        <v>718.75</v>
      </c>
    </row>
    <row r="1540" spans="1:10" ht="20.25" customHeight="1">
      <c r="A1540" s="471">
        <v>5111</v>
      </c>
      <c r="B1540" s="474" t="s">
        <v>1217</v>
      </c>
      <c r="C1540" s="473">
        <v>196</v>
      </c>
      <c r="D1540" s="478">
        <v>15</v>
      </c>
      <c r="E1540" s="474">
        <v>38867</v>
      </c>
      <c r="F1540" s="475" t="s">
        <v>446</v>
      </c>
      <c r="G1540" s="476">
        <v>12</v>
      </c>
      <c r="H1540" s="475" t="s">
        <v>1231</v>
      </c>
      <c r="I1540" s="487" t="s">
        <v>1232</v>
      </c>
      <c r="J1540" s="509">
        <v>718.75</v>
      </c>
    </row>
    <row r="1541" spans="1:10" ht="20.25" customHeight="1">
      <c r="A1541" s="471">
        <v>5111</v>
      </c>
      <c r="B1541" s="474" t="s">
        <v>1217</v>
      </c>
      <c r="C1541" s="473">
        <v>197</v>
      </c>
      <c r="D1541" s="478">
        <v>15</v>
      </c>
      <c r="E1541" s="474">
        <v>38867</v>
      </c>
      <c r="F1541" s="475" t="s">
        <v>446</v>
      </c>
      <c r="G1541" s="476">
        <v>12</v>
      </c>
      <c r="H1541" s="475" t="s">
        <v>1231</v>
      </c>
      <c r="I1541" s="487" t="s">
        <v>1232</v>
      </c>
      <c r="J1541" s="509">
        <v>718.75</v>
      </c>
    </row>
    <row r="1542" spans="1:10" ht="20.25" customHeight="1">
      <c r="A1542" s="471">
        <v>5111</v>
      </c>
      <c r="B1542" s="474" t="s">
        <v>1217</v>
      </c>
      <c r="C1542" s="473">
        <v>198</v>
      </c>
      <c r="D1542" s="478">
        <v>15</v>
      </c>
      <c r="E1542" s="474">
        <v>38867</v>
      </c>
      <c r="F1542" s="475" t="s">
        <v>446</v>
      </c>
      <c r="G1542" s="476">
        <v>12</v>
      </c>
      <c r="H1542" s="475" t="s">
        <v>1231</v>
      </c>
      <c r="I1542" s="487" t="s">
        <v>1232</v>
      </c>
      <c r="J1542" s="509">
        <v>718.75</v>
      </c>
    </row>
    <row r="1543" spans="1:10" ht="20.25" customHeight="1">
      <c r="A1543" s="471">
        <v>5111</v>
      </c>
      <c r="B1543" s="474" t="s">
        <v>1217</v>
      </c>
      <c r="C1543" s="473">
        <v>199</v>
      </c>
      <c r="D1543" s="478">
        <v>15</v>
      </c>
      <c r="E1543" s="474">
        <v>38867</v>
      </c>
      <c r="F1543" s="475" t="s">
        <v>446</v>
      </c>
      <c r="G1543" s="476">
        <v>12</v>
      </c>
      <c r="H1543" s="475" t="s">
        <v>1231</v>
      </c>
      <c r="I1543" s="487" t="s">
        <v>1232</v>
      </c>
      <c r="J1543" s="509">
        <v>718.75</v>
      </c>
    </row>
    <row r="1544" spans="1:10" ht="20.25" customHeight="1">
      <c r="A1544" s="471">
        <v>5111</v>
      </c>
      <c r="B1544" s="474" t="s">
        <v>1217</v>
      </c>
      <c r="C1544" s="473">
        <v>200</v>
      </c>
      <c r="D1544" s="478">
        <v>15</v>
      </c>
      <c r="E1544" s="474">
        <v>38867</v>
      </c>
      <c r="F1544" s="475" t="s">
        <v>446</v>
      </c>
      <c r="G1544" s="476">
        <v>12</v>
      </c>
      <c r="H1544" s="475" t="s">
        <v>1231</v>
      </c>
      <c r="I1544" s="487" t="s">
        <v>1232</v>
      </c>
      <c r="J1544" s="509">
        <v>718.75</v>
      </c>
    </row>
    <row r="1545" spans="1:10" ht="20.25" customHeight="1">
      <c r="A1545" s="471">
        <v>5111</v>
      </c>
      <c r="B1545" s="474" t="s">
        <v>1217</v>
      </c>
      <c r="C1545" s="473">
        <v>201</v>
      </c>
      <c r="D1545" s="478">
        <v>15</v>
      </c>
      <c r="E1545" s="474">
        <v>38867</v>
      </c>
      <c r="F1545" s="475" t="s">
        <v>446</v>
      </c>
      <c r="G1545" s="476">
        <v>12</v>
      </c>
      <c r="H1545" s="475" t="s">
        <v>1231</v>
      </c>
      <c r="I1545" s="487" t="s">
        <v>1232</v>
      </c>
      <c r="J1545" s="509">
        <v>718.75</v>
      </c>
    </row>
    <row r="1546" spans="1:10" ht="20.25" customHeight="1">
      <c r="A1546" s="471">
        <v>5111</v>
      </c>
      <c r="B1546" s="474" t="s">
        <v>1217</v>
      </c>
      <c r="C1546" s="473">
        <v>202</v>
      </c>
      <c r="D1546" s="478">
        <v>15</v>
      </c>
      <c r="E1546" s="474">
        <v>38867</v>
      </c>
      <c r="F1546" s="475" t="s">
        <v>446</v>
      </c>
      <c r="G1546" s="476">
        <v>12</v>
      </c>
      <c r="H1546" s="475" t="s">
        <v>1231</v>
      </c>
      <c r="I1546" s="487" t="s">
        <v>1232</v>
      </c>
      <c r="J1546" s="509">
        <v>718.75</v>
      </c>
    </row>
    <row r="1547" spans="1:10" ht="20.25" customHeight="1">
      <c r="A1547" s="471">
        <v>5111</v>
      </c>
      <c r="B1547" s="474" t="s">
        <v>1217</v>
      </c>
      <c r="C1547" s="473">
        <v>203</v>
      </c>
      <c r="D1547" s="478">
        <v>15</v>
      </c>
      <c r="E1547" s="474">
        <v>38867</v>
      </c>
      <c r="F1547" s="475" t="s">
        <v>446</v>
      </c>
      <c r="G1547" s="476">
        <v>12</v>
      </c>
      <c r="H1547" s="475" t="s">
        <v>1231</v>
      </c>
      <c r="I1547" s="487" t="s">
        <v>1232</v>
      </c>
      <c r="J1547" s="509">
        <v>718.75</v>
      </c>
    </row>
    <row r="1548" spans="1:10" ht="20.25" customHeight="1">
      <c r="A1548" s="471">
        <v>5111</v>
      </c>
      <c r="B1548" s="474" t="s">
        <v>1217</v>
      </c>
      <c r="C1548" s="473">
        <v>204</v>
      </c>
      <c r="D1548" s="478">
        <v>15</v>
      </c>
      <c r="E1548" s="474">
        <v>38867</v>
      </c>
      <c r="F1548" s="475" t="s">
        <v>446</v>
      </c>
      <c r="G1548" s="476">
        <v>12</v>
      </c>
      <c r="H1548" s="475" t="s">
        <v>1231</v>
      </c>
      <c r="I1548" s="487" t="s">
        <v>1232</v>
      </c>
      <c r="J1548" s="509">
        <v>718.75</v>
      </c>
    </row>
    <row r="1549" spans="1:10" ht="20.25" customHeight="1">
      <c r="A1549" s="471">
        <v>5111</v>
      </c>
      <c r="B1549" s="474" t="s">
        <v>1217</v>
      </c>
      <c r="C1549" s="473">
        <v>205</v>
      </c>
      <c r="D1549" s="478">
        <v>15</v>
      </c>
      <c r="E1549" s="474">
        <v>38867</v>
      </c>
      <c r="F1549" s="475" t="s">
        <v>446</v>
      </c>
      <c r="G1549" s="476">
        <v>12</v>
      </c>
      <c r="H1549" s="475" t="s">
        <v>1231</v>
      </c>
      <c r="I1549" s="487" t="s">
        <v>1232</v>
      </c>
      <c r="J1549" s="509">
        <v>718.75</v>
      </c>
    </row>
    <row r="1550" spans="1:10" ht="20.25" customHeight="1">
      <c r="A1550" s="471">
        <v>5111</v>
      </c>
      <c r="B1550" s="474" t="s">
        <v>1217</v>
      </c>
      <c r="C1550" s="473">
        <v>206</v>
      </c>
      <c r="D1550" s="478">
        <v>15</v>
      </c>
      <c r="E1550" s="474">
        <v>38867</v>
      </c>
      <c r="F1550" s="475" t="s">
        <v>446</v>
      </c>
      <c r="G1550" s="476">
        <v>12</v>
      </c>
      <c r="H1550" s="475" t="s">
        <v>1231</v>
      </c>
      <c r="I1550" s="487" t="s">
        <v>1232</v>
      </c>
      <c r="J1550" s="509">
        <v>718.75</v>
      </c>
    </row>
    <row r="1551" spans="1:10" ht="20.25" customHeight="1">
      <c r="A1551" s="471">
        <v>5111</v>
      </c>
      <c r="B1551" s="474" t="s">
        <v>1217</v>
      </c>
      <c r="C1551" s="473">
        <v>207</v>
      </c>
      <c r="D1551" s="478">
        <v>15</v>
      </c>
      <c r="E1551" s="474">
        <v>38867</v>
      </c>
      <c r="F1551" s="475" t="s">
        <v>446</v>
      </c>
      <c r="G1551" s="476">
        <v>12</v>
      </c>
      <c r="H1551" s="475" t="s">
        <v>1231</v>
      </c>
      <c r="I1551" s="487" t="s">
        <v>1232</v>
      </c>
      <c r="J1551" s="509">
        <v>718.75</v>
      </c>
    </row>
    <row r="1552" spans="1:10" ht="20.25" customHeight="1">
      <c r="A1552" s="471">
        <v>5111</v>
      </c>
      <c r="B1552" s="474" t="s">
        <v>1217</v>
      </c>
      <c r="C1552" s="473">
        <v>208</v>
      </c>
      <c r="D1552" s="478">
        <v>15</v>
      </c>
      <c r="E1552" s="474">
        <v>38867</v>
      </c>
      <c r="F1552" s="475" t="s">
        <v>446</v>
      </c>
      <c r="G1552" s="476">
        <v>12</v>
      </c>
      <c r="H1552" s="475" t="s">
        <v>1231</v>
      </c>
      <c r="I1552" s="487" t="s">
        <v>1232</v>
      </c>
      <c r="J1552" s="509">
        <v>718.75</v>
      </c>
    </row>
    <row r="1553" spans="1:10" ht="20.25" customHeight="1">
      <c r="A1553" s="471">
        <v>5111</v>
      </c>
      <c r="B1553" s="474" t="s">
        <v>1217</v>
      </c>
      <c r="C1553" s="473">
        <v>209</v>
      </c>
      <c r="D1553" s="478">
        <v>15</v>
      </c>
      <c r="E1553" s="474">
        <v>38867</v>
      </c>
      <c r="F1553" s="475" t="s">
        <v>446</v>
      </c>
      <c r="G1553" s="476">
        <v>12</v>
      </c>
      <c r="H1553" s="475" t="s">
        <v>1231</v>
      </c>
      <c r="I1553" s="487" t="s">
        <v>1232</v>
      </c>
      <c r="J1553" s="509">
        <v>718.75</v>
      </c>
    </row>
    <row r="1554" spans="1:10" ht="20.25" customHeight="1">
      <c r="A1554" s="471">
        <v>5111</v>
      </c>
      <c r="B1554" s="474" t="s">
        <v>1217</v>
      </c>
      <c r="C1554" s="473">
        <v>210</v>
      </c>
      <c r="D1554" s="478">
        <v>15</v>
      </c>
      <c r="E1554" s="474">
        <v>38867</v>
      </c>
      <c r="F1554" s="475" t="s">
        <v>446</v>
      </c>
      <c r="G1554" s="476">
        <v>12</v>
      </c>
      <c r="H1554" s="475" t="s">
        <v>1231</v>
      </c>
      <c r="I1554" s="487" t="s">
        <v>1232</v>
      </c>
      <c r="J1554" s="509">
        <v>718.75</v>
      </c>
    </row>
    <row r="1555" spans="1:10" ht="20.25" customHeight="1">
      <c r="A1555" s="471">
        <v>5111</v>
      </c>
      <c r="B1555" s="474" t="s">
        <v>1217</v>
      </c>
      <c r="C1555" s="473">
        <v>211</v>
      </c>
      <c r="D1555" s="478">
        <v>15</v>
      </c>
      <c r="E1555" s="474">
        <v>38867</v>
      </c>
      <c r="F1555" s="475" t="s">
        <v>446</v>
      </c>
      <c r="G1555" s="476">
        <v>12</v>
      </c>
      <c r="H1555" s="475" t="s">
        <v>1231</v>
      </c>
      <c r="I1555" s="487" t="s">
        <v>1232</v>
      </c>
      <c r="J1555" s="509">
        <v>718.75</v>
      </c>
    </row>
    <row r="1556" spans="1:10" ht="20.25" customHeight="1">
      <c r="A1556" s="471">
        <v>5111</v>
      </c>
      <c r="B1556" s="474" t="s">
        <v>1217</v>
      </c>
      <c r="C1556" s="473">
        <v>212</v>
      </c>
      <c r="D1556" s="478">
        <v>15</v>
      </c>
      <c r="E1556" s="474">
        <v>38867</v>
      </c>
      <c r="F1556" s="475" t="s">
        <v>446</v>
      </c>
      <c r="G1556" s="476">
        <v>12</v>
      </c>
      <c r="H1556" s="475" t="s">
        <v>1231</v>
      </c>
      <c r="I1556" s="487" t="s">
        <v>1232</v>
      </c>
      <c r="J1556" s="509">
        <v>718.75</v>
      </c>
    </row>
    <row r="1557" spans="1:10" ht="20.25" customHeight="1">
      <c r="A1557" s="471">
        <v>5111</v>
      </c>
      <c r="B1557" s="474" t="s">
        <v>1217</v>
      </c>
      <c r="C1557" s="473">
        <v>213</v>
      </c>
      <c r="D1557" s="478">
        <v>15</v>
      </c>
      <c r="E1557" s="474">
        <v>38867</v>
      </c>
      <c r="F1557" s="475" t="s">
        <v>446</v>
      </c>
      <c r="G1557" s="476">
        <v>12</v>
      </c>
      <c r="H1557" s="475" t="s">
        <v>1231</v>
      </c>
      <c r="I1557" s="487" t="s">
        <v>1232</v>
      </c>
      <c r="J1557" s="509">
        <v>718.75</v>
      </c>
    </row>
    <row r="1558" spans="1:10" ht="20.25" customHeight="1">
      <c r="A1558" s="471">
        <v>5111</v>
      </c>
      <c r="B1558" s="474" t="s">
        <v>1217</v>
      </c>
      <c r="C1558" s="473">
        <v>214</v>
      </c>
      <c r="D1558" s="478">
        <v>15</v>
      </c>
      <c r="E1558" s="474">
        <v>38867</v>
      </c>
      <c r="F1558" s="475" t="s">
        <v>446</v>
      </c>
      <c r="G1558" s="476">
        <v>12</v>
      </c>
      <c r="H1558" s="475" t="s">
        <v>1231</v>
      </c>
      <c r="I1558" s="487" t="s">
        <v>1232</v>
      </c>
      <c r="J1558" s="509">
        <v>718.75</v>
      </c>
    </row>
    <row r="1559" spans="1:10" ht="20.25" customHeight="1">
      <c r="A1559" s="471">
        <v>5111</v>
      </c>
      <c r="B1559" s="474" t="s">
        <v>1217</v>
      </c>
      <c r="C1559" s="473">
        <v>215</v>
      </c>
      <c r="D1559" s="478">
        <v>15</v>
      </c>
      <c r="E1559" s="474">
        <v>38867</v>
      </c>
      <c r="F1559" s="475" t="s">
        <v>446</v>
      </c>
      <c r="G1559" s="476">
        <v>12</v>
      </c>
      <c r="H1559" s="475" t="s">
        <v>1231</v>
      </c>
      <c r="I1559" s="487" t="s">
        <v>1232</v>
      </c>
      <c r="J1559" s="509">
        <v>718.75</v>
      </c>
    </row>
    <row r="1560" spans="1:10" ht="20.25" customHeight="1">
      <c r="A1560" s="471">
        <v>5111</v>
      </c>
      <c r="B1560" s="474" t="s">
        <v>1217</v>
      </c>
      <c r="C1560" s="473">
        <v>216</v>
      </c>
      <c r="D1560" s="478">
        <v>15</v>
      </c>
      <c r="E1560" s="474">
        <v>38867</v>
      </c>
      <c r="F1560" s="475" t="s">
        <v>446</v>
      </c>
      <c r="G1560" s="476">
        <v>12</v>
      </c>
      <c r="H1560" s="475" t="s">
        <v>1231</v>
      </c>
      <c r="I1560" s="487" t="s">
        <v>1232</v>
      </c>
      <c r="J1560" s="509">
        <v>718.75</v>
      </c>
    </row>
    <row r="1561" spans="1:10" ht="20.25" customHeight="1">
      <c r="A1561" s="471">
        <v>5111</v>
      </c>
      <c r="B1561" s="474" t="s">
        <v>1217</v>
      </c>
      <c r="C1561" s="473">
        <v>217</v>
      </c>
      <c r="D1561" s="478">
        <v>15</v>
      </c>
      <c r="E1561" s="474">
        <v>38867</v>
      </c>
      <c r="F1561" s="475" t="s">
        <v>446</v>
      </c>
      <c r="G1561" s="476">
        <v>12</v>
      </c>
      <c r="H1561" s="475" t="s">
        <v>1231</v>
      </c>
      <c r="I1561" s="487" t="s">
        <v>1232</v>
      </c>
      <c r="J1561" s="509">
        <v>718.75</v>
      </c>
    </row>
    <row r="1562" spans="1:10" ht="20.25" customHeight="1">
      <c r="A1562" s="471">
        <v>5111</v>
      </c>
      <c r="B1562" s="474" t="s">
        <v>1217</v>
      </c>
      <c r="C1562" s="473">
        <v>218</v>
      </c>
      <c r="D1562" s="478">
        <v>15</v>
      </c>
      <c r="E1562" s="474">
        <v>38867</v>
      </c>
      <c r="F1562" s="475" t="s">
        <v>446</v>
      </c>
      <c r="G1562" s="476">
        <v>12</v>
      </c>
      <c r="H1562" s="475" t="s">
        <v>1231</v>
      </c>
      <c r="I1562" s="487" t="s">
        <v>1232</v>
      </c>
      <c r="J1562" s="509">
        <v>718.75</v>
      </c>
    </row>
    <row r="1563" spans="1:10" ht="20.25" customHeight="1">
      <c r="A1563" s="471">
        <v>5111</v>
      </c>
      <c r="B1563" s="474" t="s">
        <v>1217</v>
      </c>
      <c r="C1563" s="473">
        <v>219</v>
      </c>
      <c r="D1563" s="478">
        <v>15</v>
      </c>
      <c r="E1563" s="474">
        <v>38867</v>
      </c>
      <c r="F1563" s="475" t="s">
        <v>446</v>
      </c>
      <c r="G1563" s="476">
        <v>12</v>
      </c>
      <c r="H1563" s="475" t="s">
        <v>1231</v>
      </c>
      <c r="I1563" s="487" t="s">
        <v>1232</v>
      </c>
      <c r="J1563" s="509">
        <v>718.75</v>
      </c>
    </row>
    <row r="1564" spans="1:10" ht="20.25" customHeight="1">
      <c r="A1564" s="471">
        <v>5111</v>
      </c>
      <c r="B1564" s="474" t="s">
        <v>1217</v>
      </c>
      <c r="C1564" s="473">
        <v>220</v>
      </c>
      <c r="D1564" s="478">
        <v>15</v>
      </c>
      <c r="E1564" s="474">
        <v>38867</v>
      </c>
      <c r="F1564" s="475" t="s">
        <v>446</v>
      </c>
      <c r="G1564" s="476">
        <v>12</v>
      </c>
      <c r="H1564" s="475" t="s">
        <v>1231</v>
      </c>
      <c r="I1564" s="487" t="s">
        <v>1232</v>
      </c>
      <c r="J1564" s="509">
        <v>718.75</v>
      </c>
    </row>
    <row r="1565" spans="1:10" ht="20.25" customHeight="1">
      <c r="A1565" s="471">
        <v>5111</v>
      </c>
      <c r="B1565" s="474" t="s">
        <v>1217</v>
      </c>
      <c r="C1565" s="473">
        <v>221</v>
      </c>
      <c r="D1565" s="478">
        <v>15</v>
      </c>
      <c r="E1565" s="474">
        <v>38867</v>
      </c>
      <c r="F1565" s="475" t="s">
        <v>446</v>
      </c>
      <c r="G1565" s="476">
        <v>12</v>
      </c>
      <c r="H1565" s="475" t="s">
        <v>1231</v>
      </c>
      <c r="I1565" s="487" t="s">
        <v>1232</v>
      </c>
      <c r="J1565" s="509">
        <v>718.75</v>
      </c>
    </row>
    <row r="1566" spans="1:10" ht="20.25" customHeight="1">
      <c r="A1566" s="471">
        <v>5111</v>
      </c>
      <c r="B1566" s="474" t="s">
        <v>1217</v>
      </c>
      <c r="C1566" s="473">
        <v>222</v>
      </c>
      <c r="D1566" s="478">
        <v>15</v>
      </c>
      <c r="E1566" s="474">
        <v>38867</v>
      </c>
      <c r="F1566" s="475" t="s">
        <v>446</v>
      </c>
      <c r="G1566" s="476">
        <v>12</v>
      </c>
      <c r="H1566" s="475" t="s">
        <v>1231</v>
      </c>
      <c r="I1566" s="487" t="s">
        <v>1232</v>
      </c>
      <c r="J1566" s="509">
        <v>718.75</v>
      </c>
    </row>
    <row r="1567" spans="1:10" ht="20.25" customHeight="1">
      <c r="A1567" s="471">
        <v>5111</v>
      </c>
      <c r="B1567" s="474" t="s">
        <v>1217</v>
      </c>
      <c r="C1567" s="473">
        <v>223</v>
      </c>
      <c r="D1567" s="478">
        <v>15</v>
      </c>
      <c r="E1567" s="474">
        <v>38867</v>
      </c>
      <c r="F1567" s="475" t="s">
        <v>446</v>
      </c>
      <c r="G1567" s="476">
        <v>12</v>
      </c>
      <c r="H1567" s="475" t="s">
        <v>1231</v>
      </c>
      <c r="I1567" s="487" t="s">
        <v>1232</v>
      </c>
      <c r="J1567" s="509">
        <v>718.75</v>
      </c>
    </row>
    <row r="1568" spans="1:10" ht="20.25" customHeight="1">
      <c r="A1568" s="471">
        <v>5111</v>
      </c>
      <c r="B1568" s="474" t="s">
        <v>1217</v>
      </c>
      <c r="C1568" s="473">
        <v>224</v>
      </c>
      <c r="D1568" s="478">
        <v>15</v>
      </c>
      <c r="E1568" s="474">
        <v>38867</v>
      </c>
      <c r="F1568" s="475" t="s">
        <v>446</v>
      </c>
      <c r="G1568" s="476">
        <v>12</v>
      </c>
      <c r="H1568" s="475" t="s">
        <v>1231</v>
      </c>
      <c r="I1568" s="487" t="s">
        <v>1232</v>
      </c>
      <c r="J1568" s="509">
        <v>718.75</v>
      </c>
    </row>
    <row r="1569" spans="1:10" ht="20.25" customHeight="1">
      <c r="A1569" s="471">
        <v>5111</v>
      </c>
      <c r="B1569" s="474" t="s">
        <v>1217</v>
      </c>
      <c r="C1569" s="473">
        <v>225</v>
      </c>
      <c r="D1569" s="478">
        <v>15</v>
      </c>
      <c r="E1569" s="474">
        <v>38867</v>
      </c>
      <c r="F1569" s="475" t="s">
        <v>446</v>
      </c>
      <c r="G1569" s="476">
        <v>12</v>
      </c>
      <c r="H1569" s="475" t="s">
        <v>1231</v>
      </c>
      <c r="I1569" s="487" t="s">
        <v>1232</v>
      </c>
      <c r="J1569" s="509">
        <v>718.75</v>
      </c>
    </row>
    <row r="1570" spans="1:10" ht="20.25" customHeight="1">
      <c r="A1570" s="471">
        <v>5111</v>
      </c>
      <c r="B1570" s="474" t="s">
        <v>1217</v>
      </c>
      <c r="C1570" s="473">
        <v>226</v>
      </c>
      <c r="D1570" s="478">
        <v>15</v>
      </c>
      <c r="E1570" s="474">
        <v>38867</v>
      </c>
      <c r="F1570" s="475" t="s">
        <v>446</v>
      </c>
      <c r="G1570" s="476">
        <v>12</v>
      </c>
      <c r="H1570" s="475" t="s">
        <v>1231</v>
      </c>
      <c r="I1570" s="487" t="s">
        <v>1232</v>
      </c>
      <c r="J1570" s="509">
        <v>718.75</v>
      </c>
    </row>
    <row r="1571" spans="1:10" ht="20.25" customHeight="1">
      <c r="A1571" s="471">
        <v>5111</v>
      </c>
      <c r="B1571" s="474" t="s">
        <v>1217</v>
      </c>
      <c r="C1571" s="473">
        <v>227</v>
      </c>
      <c r="D1571" s="478">
        <v>15</v>
      </c>
      <c r="E1571" s="474">
        <v>38867</v>
      </c>
      <c r="F1571" s="475" t="s">
        <v>446</v>
      </c>
      <c r="G1571" s="476">
        <v>12</v>
      </c>
      <c r="H1571" s="475" t="s">
        <v>1231</v>
      </c>
      <c r="I1571" s="487" t="s">
        <v>1232</v>
      </c>
      <c r="J1571" s="509">
        <v>718.75</v>
      </c>
    </row>
    <row r="1572" spans="1:10" ht="20.25" customHeight="1">
      <c r="A1572" s="471">
        <v>5111</v>
      </c>
      <c r="B1572" s="474" t="s">
        <v>1217</v>
      </c>
      <c r="C1572" s="473">
        <v>228</v>
      </c>
      <c r="D1572" s="478">
        <v>15</v>
      </c>
      <c r="E1572" s="474">
        <v>38867</v>
      </c>
      <c r="F1572" s="475" t="s">
        <v>446</v>
      </c>
      <c r="G1572" s="476">
        <v>12</v>
      </c>
      <c r="H1572" s="475" t="s">
        <v>1231</v>
      </c>
      <c r="I1572" s="487" t="s">
        <v>1232</v>
      </c>
      <c r="J1572" s="509">
        <v>718.75</v>
      </c>
    </row>
    <row r="1573" spans="1:10" ht="20.25" customHeight="1">
      <c r="A1573" s="471">
        <v>5111</v>
      </c>
      <c r="B1573" s="474" t="s">
        <v>1217</v>
      </c>
      <c r="C1573" s="473">
        <v>229</v>
      </c>
      <c r="D1573" s="478">
        <v>15</v>
      </c>
      <c r="E1573" s="474">
        <v>38867</v>
      </c>
      <c r="F1573" s="475" t="s">
        <v>446</v>
      </c>
      <c r="G1573" s="476">
        <v>12</v>
      </c>
      <c r="H1573" s="475" t="s">
        <v>1231</v>
      </c>
      <c r="I1573" s="487" t="s">
        <v>1232</v>
      </c>
      <c r="J1573" s="509">
        <v>718.75</v>
      </c>
    </row>
    <row r="1574" spans="1:10" ht="20.25" customHeight="1">
      <c r="A1574" s="471">
        <v>5111</v>
      </c>
      <c r="B1574" s="474" t="s">
        <v>1217</v>
      </c>
      <c r="C1574" s="473">
        <v>230</v>
      </c>
      <c r="D1574" s="478">
        <v>15</v>
      </c>
      <c r="E1574" s="474">
        <v>38867</v>
      </c>
      <c r="F1574" s="475" t="s">
        <v>446</v>
      </c>
      <c r="G1574" s="476">
        <v>12</v>
      </c>
      <c r="H1574" s="475" t="s">
        <v>1231</v>
      </c>
      <c r="I1574" s="487" t="s">
        <v>1232</v>
      </c>
      <c r="J1574" s="509">
        <v>718.75</v>
      </c>
    </row>
    <row r="1575" spans="1:10" ht="20.25" customHeight="1">
      <c r="A1575" s="471">
        <v>5111</v>
      </c>
      <c r="B1575" s="474" t="s">
        <v>1217</v>
      </c>
      <c r="C1575" s="473">
        <v>231</v>
      </c>
      <c r="D1575" s="478">
        <v>15</v>
      </c>
      <c r="E1575" s="474">
        <v>38867</v>
      </c>
      <c r="F1575" s="475" t="s">
        <v>446</v>
      </c>
      <c r="G1575" s="476">
        <v>12</v>
      </c>
      <c r="H1575" s="475" t="s">
        <v>1231</v>
      </c>
      <c r="I1575" s="487" t="s">
        <v>1232</v>
      </c>
      <c r="J1575" s="509">
        <v>718.75</v>
      </c>
    </row>
    <row r="1576" spans="1:10" ht="20.25" customHeight="1">
      <c r="A1576" s="471">
        <v>5111</v>
      </c>
      <c r="B1576" s="474" t="s">
        <v>1217</v>
      </c>
      <c r="C1576" s="473">
        <v>232</v>
      </c>
      <c r="D1576" s="478">
        <v>15</v>
      </c>
      <c r="E1576" s="474">
        <v>38867</v>
      </c>
      <c r="F1576" s="475" t="s">
        <v>446</v>
      </c>
      <c r="G1576" s="476">
        <v>12</v>
      </c>
      <c r="H1576" s="475" t="s">
        <v>1231</v>
      </c>
      <c r="I1576" s="487" t="s">
        <v>1232</v>
      </c>
      <c r="J1576" s="509">
        <v>718.75</v>
      </c>
    </row>
    <row r="1577" spans="1:10" ht="20.25" customHeight="1">
      <c r="A1577" s="471">
        <v>5111</v>
      </c>
      <c r="B1577" s="474" t="s">
        <v>1217</v>
      </c>
      <c r="C1577" s="473">
        <v>233</v>
      </c>
      <c r="D1577" s="478">
        <v>15</v>
      </c>
      <c r="E1577" s="474">
        <v>38867</v>
      </c>
      <c r="F1577" s="475" t="s">
        <v>446</v>
      </c>
      <c r="G1577" s="476">
        <v>12</v>
      </c>
      <c r="H1577" s="475" t="s">
        <v>1231</v>
      </c>
      <c r="I1577" s="487" t="s">
        <v>1232</v>
      </c>
      <c r="J1577" s="509">
        <v>718.75</v>
      </c>
    </row>
    <row r="1578" spans="1:10" ht="20.25" customHeight="1">
      <c r="A1578" s="471">
        <v>5111</v>
      </c>
      <c r="B1578" s="474" t="s">
        <v>1217</v>
      </c>
      <c r="C1578" s="473">
        <v>234</v>
      </c>
      <c r="D1578" s="478">
        <v>15</v>
      </c>
      <c r="E1578" s="474">
        <v>38867</v>
      </c>
      <c r="F1578" s="475" t="s">
        <v>446</v>
      </c>
      <c r="G1578" s="476">
        <v>12</v>
      </c>
      <c r="H1578" s="475" t="s">
        <v>1231</v>
      </c>
      <c r="I1578" s="487" t="s">
        <v>1232</v>
      </c>
      <c r="J1578" s="509">
        <v>718.75</v>
      </c>
    </row>
    <row r="1579" spans="1:10" ht="20.25" customHeight="1">
      <c r="A1579" s="471">
        <v>5111</v>
      </c>
      <c r="B1579" s="474" t="s">
        <v>1217</v>
      </c>
      <c r="C1579" s="473">
        <v>235</v>
      </c>
      <c r="D1579" s="478">
        <v>15</v>
      </c>
      <c r="E1579" s="474">
        <v>38867</v>
      </c>
      <c r="F1579" s="475" t="s">
        <v>446</v>
      </c>
      <c r="G1579" s="476">
        <v>12</v>
      </c>
      <c r="H1579" s="475" t="s">
        <v>1231</v>
      </c>
      <c r="I1579" s="487" t="s">
        <v>1232</v>
      </c>
      <c r="J1579" s="509">
        <v>718.75</v>
      </c>
    </row>
    <row r="1580" spans="1:10" ht="20.25" customHeight="1">
      <c r="A1580" s="471">
        <v>5111</v>
      </c>
      <c r="B1580" s="474" t="s">
        <v>1217</v>
      </c>
      <c r="C1580" s="473">
        <v>236</v>
      </c>
      <c r="D1580" s="478">
        <v>15</v>
      </c>
      <c r="E1580" s="474">
        <v>38867</v>
      </c>
      <c r="F1580" s="475" t="s">
        <v>446</v>
      </c>
      <c r="G1580" s="476">
        <v>12</v>
      </c>
      <c r="H1580" s="475" t="s">
        <v>1231</v>
      </c>
      <c r="I1580" s="487" t="s">
        <v>1232</v>
      </c>
      <c r="J1580" s="509">
        <v>718.75</v>
      </c>
    </row>
    <row r="1581" spans="1:10" ht="20.25" customHeight="1">
      <c r="A1581" s="471">
        <v>5111</v>
      </c>
      <c r="B1581" s="474" t="s">
        <v>1217</v>
      </c>
      <c r="C1581" s="473">
        <v>237</v>
      </c>
      <c r="D1581" s="478">
        <v>15</v>
      </c>
      <c r="E1581" s="474">
        <v>38867</v>
      </c>
      <c r="F1581" s="475" t="s">
        <v>446</v>
      </c>
      <c r="G1581" s="476">
        <v>12</v>
      </c>
      <c r="H1581" s="475" t="s">
        <v>1231</v>
      </c>
      <c r="I1581" s="487" t="s">
        <v>1232</v>
      </c>
      <c r="J1581" s="509">
        <v>718.75</v>
      </c>
    </row>
    <row r="1582" spans="1:10" ht="20.25" customHeight="1">
      <c r="A1582" s="471">
        <v>5111</v>
      </c>
      <c r="B1582" s="474" t="s">
        <v>1217</v>
      </c>
      <c r="C1582" s="473">
        <v>238</v>
      </c>
      <c r="D1582" s="478">
        <v>15</v>
      </c>
      <c r="E1582" s="474">
        <v>38867</v>
      </c>
      <c r="F1582" s="475" t="s">
        <v>446</v>
      </c>
      <c r="G1582" s="476">
        <v>12</v>
      </c>
      <c r="H1582" s="475" t="s">
        <v>1231</v>
      </c>
      <c r="I1582" s="487" t="s">
        <v>1232</v>
      </c>
      <c r="J1582" s="509">
        <v>718.75</v>
      </c>
    </row>
    <row r="1583" spans="1:10" ht="20.25" customHeight="1">
      <c r="A1583" s="471">
        <v>5111</v>
      </c>
      <c r="B1583" s="474" t="s">
        <v>1217</v>
      </c>
      <c r="C1583" s="473">
        <v>239</v>
      </c>
      <c r="D1583" s="478">
        <v>15</v>
      </c>
      <c r="E1583" s="474">
        <v>38867</v>
      </c>
      <c r="F1583" s="475" t="s">
        <v>446</v>
      </c>
      <c r="G1583" s="476">
        <v>12</v>
      </c>
      <c r="H1583" s="475" t="s">
        <v>1231</v>
      </c>
      <c r="I1583" s="487" t="s">
        <v>1232</v>
      </c>
      <c r="J1583" s="509">
        <v>718.75</v>
      </c>
    </row>
    <row r="1584" spans="1:10" ht="20.25" customHeight="1">
      <c r="A1584" s="471">
        <v>5111</v>
      </c>
      <c r="B1584" s="474" t="s">
        <v>1217</v>
      </c>
      <c r="C1584" s="473">
        <v>240</v>
      </c>
      <c r="D1584" s="478">
        <v>15</v>
      </c>
      <c r="E1584" s="474">
        <v>38867</v>
      </c>
      <c r="F1584" s="475" t="s">
        <v>446</v>
      </c>
      <c r="G1584" s="476">
        <v>12</v>
      </c>
      <c r="H1584" s="475" t="s">
        <v>1231</v>
      </c>
      <c r="I1584" s="487" t="s">
        <v>1232</v>
      </c>
      <c r="J1584" s="509">
        <v>718.75</v>
      </c>
    </row>
    <row r="1585" spans="1:10" ht="20.25" customHeight="1">
      <c r="A1585" s="471">
        <v>5111</v>
      </c>
      <c r="B1585" s="474" t="s">
        <v>1217</v>
      </c>
      <c r="C1585" s="473">
        <v>241</v>
      </c>
      <c r="D1585" s="478">
        <v>15</v>
      </c>
      <c r="E1585" s="474">
        <v>38867</v>
      </c>
      <c r="F1585" s="475" t="s">
        <v>446</v>
      </c>
      <c r="G1585" s="476">
        <v>12</v>
      </c>
      <c r="H1585" s="475" t="s">
        <v>1231</v>
      </c>
      <c r="I1585" s="487" t="s">
        <v>1232</v>
      </c>
      <c r="J1585" s="509">
        <v>718.75</v>
      </c>
    </row>
    <row r="1586" spans="1:10" ht="20.25" customHeight="1">
      <c r="A1586" s="471">
        <v>5111</v>
      </c>
      <c r="B1586" s="474" t="s">
        <v>1217</v>
      </c>
      <c r="C1586" s="473">
        <v>242</v>
      </c>
      <c r="D1586" s="478">
        <v>15</v>
      </c>
      <c r="E1586" s="474">
        <v>38867</v>
      </c>
      <c r="F1586" s="475" t="s">
        <v>446</v>
      </c>
      <c r="G1586" s="476">
        <v>12</v>
      </c>
      <c r="H1586" s="475" t="s">
        <v>1231</v>
      </c>
      <c r="I1586" s="487" t="s">
        <v>1232</v>
      </c>
      <c r="J1586" s="509">
        <v>718.75</v>
      </c>
    </row>
    <row r="1587" spans="1:10" ht="20.25" customHeight="1">
      <c r="A1587" s="471">
        <v>5111</v>
      </c>
      <c r="B1587" s="474" t="s">
        <v>1217</v>
      </c>
      <c r="C1587" s="473">
        <v>243</v>
      </c>
      <c r="D1587" s="478">
        <v>15</v>
      </c>
      <c r="E1587" s="474">
        <v>38867</v>
      </c>
      <c r="F1587" s="475" t="s">
        <v>446</v>
      </c>
      <c r="G1587" s="476">
        <v>12</v>
      </c>
      <c r="H1587" s="475" t="s">
        <v>1231</v>
      </c>
      <c r="I1587" s="487" t="s">
        <v>1232</v>
      </c>
      <c r="J1587" s="509">
        <v>718.75</v>
      </c>
    </row>
    <row r="1588" spans="1:10" ht="20.25" customHeight="1">
      <c r="A1588" s="471">
        <v>5111</v>
      </c>
      <c r="B1588" s="474" t="s">
        <v>1217</v>
      </c>
      <c r="C1588" s="473">
        <v>244</v>
      </c>
      <c r="D1588" s="478">
        <v>15</v>
      </c>
      <c r="E1588" s="474">
        <v>38867</v>
      </c>
      <c r="F1588" s="475" t="s">
        <v>446</v>
      </c>
      <c r="G1588" s="476">
        <v>12</v>
      </c>
      <c r="H1588" s="475" t="s">
        <v>1231</v>
      </c>
      <c r="I1588" s="487" t="s">
        <v>1232</v>
      </c>
      <c r="J1588" s="509">
        <v>718.75</v>
      </c>
    </row>
    <row r="1589" spans="1:10" ht="20.25" customHeight="1">
      <c r="A1589" s="471">
        <v>5111</v>
      </c>
      <c r="B1589" s="474" t="s">
        <v>1217</v>
      </c>
      <c r="C1589" s="473">
        <v>245</v>
      </c>
      <c r="D1589" s="478">
        <v>15</v>
      </c>
      <c r="E1589" s="474">
        <v>38867</v>
      </c>
      <c r="F1589" s="475" t="s">
        <v>446</v>
      </c>
      <c r="G1589" s="476">
        <v>12</v>
      </c>
      <c r="H1589" s="475" t="s">
        <v>1231</v>
      </c>
      <c r="I1589" s="487" t="s">
        <v>1232</v>
      </c>
      <c r="J1589" s="509">
        <v>718.75</v>
      </c>
    </row>
    <row r="1590" spans="1:10" ht="20.25" customHeight="1">
      <c r="A1590" s="471">
        <v>5111</v>
      </c>
      <c r="B1590" s="474" t="s">
        <v>1217</v>
      </c>
      <c r="C1590" s="473">
        <v>246</v>
      </c>
      <c r="D1590" s="478">
        <v>15</v>
      </c>
      <c r="E1590" s="474">
        <v>38867</v>
      </c>
      <c r="F1590" s="475" t="s">
        <v>446</v>
      </c>
      <c r="G1590" s="476">
        <v>12</v>
      </c>
      <c r="H1590" s="475" t="s">
        <v>1231</v>
      </c>
      <c r="I1590" s="487" t="s">
        <v>1232</v>
      </c>
      <c r="J1590" s="509">
        <v>718.75</v>
      </c>
    </row>
    <row r="1591" spans="1:10" ht="20.25" customHeight="1">
      <c r="A1591" s="471">
        <v>5111</v>
      </c>
      <c r="B1591" s="474" t="s">
        <v>1217</v>
      </c>
      <c r="C1591" s="473">
        <v>247</v>
      </c>
      <c r="D1591" s="478">
        <v>15</v>
      </c>
      <c r="E1591" s="474">
        <v>38867</v>
      </c>
      <c r="F1591" s="475" t="s">
        <v>446</v>
      </c>
      <c r="G1591" s="476">
        <v>12</v>
      </c>
      <c r="H1591" s="475" t="s">
        <v>1231</v>
      </c>
      <c r="I1591" s="487" t="s">
        <v>1232</v>
      </c>
      <c r="J1591" s="509">
        <v>718.75</v>
      </c>
    </row>
    <row r="1592" spans="1:10" ht="20.25" customHeight="1">
      <c r="A1592" s="471">
        <v>5111</v>
      </c>
      <c r="B1592" s="474" t="s">
        <v>1217</v>
      </c>
      <c r="C1592" s="473">
        <v>248</v>
      </c>
      <c r="D1592" s="478">
        <v>15</v>
      </c>
      <c r="E1592" s="474">
        <v>38867</v>
      </c>
      <c r="F1592" s="475" t="s">
        <v>446</v>
      </c>
      <c r="G1592" s="476">
        <v>12</v>
      </c>
      <c r="H1592" s="475" t="s">
        <v>1231</v>
      </c>
      <c r="I1592" s="487" t="s">
        <v>1232</v>
      </c>
      <c r="J1592" s="509">
        <v>718.75</v>
      </c>
    </row>
    <row r="1593" spans="1:10" ht="20.25" customHeight="1">
      <c r="A1593" s="471">
        <v>5111</v>
      </c>
      <c r="B1593" s="474" t="s">
        <v>1217</v>
      </c>
      <c r="C1593" s="473">
        <v>249</v>
      </c>
      <c r="D1593" s="478">
        <v>15</v>
      </c>
      <c r="E1593" s="474">
        <v>38867</v>
      </c>
      <c r="F1593" s="475" t="s">
        <v>446</v>
      </c>
      <c r="G1593" s="476">
        <v>12</v>
      </c>
      <c r="H1593" s="475" t="s">
        <v>1231</v>
      </c>
      <c r="I1593" s="487" t="s">
        <v>1232</v>
      </c>
      <c r="J1593" s="509">
        <v>718.75</v>
      </c>
    </row>
    <row r="1594" spans="1:10" ht="20.25" customHeight="1">
      <c r="A1594" s="471">
        <v>5111</v>
      </c>
      <c r="B1594" s="474" t="s">
        <v>1217</v>
      </c>
      <c r="C1594" s="473">
        <v>250</v>
      </c>
      <c r="D1594" s="478">
        <v>15</v>
      </c>
      <c r="E1594" s="474">
        <v>38867</v>
      </c>
      <c r="F1594" s="475" t="s">
        <v>446</v>
      </c>
      <c r="G1594" s="476">
        <v>12</v>
      </c>
      <c r="H1594" s="475" t="s">
        <v>1231</v>
      </c>
      <c r="I1594" s="487" t="s">
        <v>1232</v>
      </c>
      <c r="J1594" s="509">
        <v>718.75</v>
      </c>
    </row>
    <row r="1595" spans="1:10" ht="20.25" customHeight="1">
      <c r="A1595" s="471">
        <v>5111</v>
      </c>
      <c r="B1595" s="474" t="s">
        <v>1217</v>
      </c>
      <c r="C1595" s="473">
        <v>251</v>
      </c>
      <c r="D1595" s="478">
        <v>15</v>
      </c>
      <c r="E1595" s="474">
        <v>38867</v>
      </c>
      <c r="F1595" s="475" t="s">
        <v>446</v>
      </c>
      <c r="G1595" s="476">
        <v>12</v>
      </c>
      <c r="H1595" s="475" t="s">
        <v>1231</v>
      </c>
      <c r="I1595" s="487" t="s">
        <v>1232</v>
      </c>
      <c r="J1595" s="509">
        <v>718.75</v>
      </c>
    </row>
    <row r="1596" spans="1:10" ht="20.25" customHeight="1">
      <c r="A1596" s="471">
        <v>5111</v>
      </c>
      <c r="B1596" s="474" t="s">
        <v>1217</v>
      </c>
      <c r="C1596" s="473">
        <v>252</v>
      </c>
      <c r="D1596" s="478">
        <v>15</v>
      </c>
      <c r="E1596" s="474">
        <v>38867</v>
      </c>
      <c r="F1596" s="475" t="s">
        <v>446</v>
      </c>
      <c r="G1596" s="476">
        <v>12</v>
      </c>
      <c r="H1596" s="475" t="s">
        <v>1231</v>
      </c>
      <c r="I1596" s="487" t="s">
        <v>1232</v>
      </c>
      <c r="J1596" s="509">
        <v>718.75</v>
      </c>
    </row>
    <row r="1597" spans="1:10" ht="20.25" customHeight="1">
      <c r="A1597" s="471">
        <v>5111</v>
      </c>
      <c r="B1597" s="474" t="s">
        <v>1217</v>
      </c>
      <c r="C1597" s="473">
        <v>253</v>
      </c>
      <c r="D1597" s="478">
        <v>15</v>
      </c>
      <c r="E1597" s="474">
        <v>38867</v>
      </c>
      <c r="F1597" s="475" t="s">
        <v>446</v>
      </c>
      <c r="G1597" s="476">
        <v>12</v>
      </c>
      <c r="H1597" s="475" t="s">
        <v>1231</v>
      </c>
      <c r="I1597" s="487" t="s">
        <v>1232</v>
      </c>
      <c r="J1597" s="509">
        <v>718.75</v>
      </c>
    </row>
    <row r="1598" spans="1:10" ht="20.25" customHeight="1">
      <c r="A1598" s="471">
        <v>5111</v>
      </c>
      <c r="B1598" s="474" t="s">
        <v>1217</v>
      </c>
      <c r="C1598" s="473">
        <v>254</v>
      </c>
      <c r="D1598" s="478">
        <v>15</v>
      </c>
      <c r="E1598" s="474">
        <v>38867</v>
      </c>
      <c r="F1598" s="475" t="s">
        <v>446</v>
      </c>
      <c r="G1598" s="476">
        <v>12</v>
      </c>
      <c r="H1598" s="475" t="s">
        <v>1231</v>
      </c>
      <c r="I1598" s="487" t="s">
        <v>1232</v>
      </c>
      <c r="J1598" s="509">
        <v>718.75</v>
      </c>
    </row>
    <row r="1599" spans="1:10" ht="20.25" customHeight="1">
      <c r="A1599" s="471">
        <v>5111</v>
      </c>
      <c r="B1599" s="474" t="s">
        <v>1217</v>
      </c>
      <c r="C1599" s="473">
        <v>255</v>
      </c>
      <c r="D1599" s="478">
        <v>15</v>
      </c>
      <c r="E1599" s="474">
        <v>38867</v>
      </c>
      <c r="F1599" s="475" t="s">
        <v>446</v>
      </c>
      <c r="G1599" s="476">
        <v>12</v>
      </c>
      <c r="H1599" s="475" t="s">
        <v>1231</v>
      </c>
      <c r="I1599" s="487" t="s">
        <v>1232</v>
      </c>
      <c r="J1599" s="509">
        <v>718.75</v>
      </c>
    </row>
    <row r="1600" spans="1:10" ht="20.25" customHeight="1">
      <c r="A1600" s="471">
        <v>5111</v>
      </c>
      <c r="B1600" s="474" t="s">
        <v>1217</v>
      </c>
      <c r="C1600" s="473">
        <v>256</v>
      </c>
      <c r="D1600" s="478">
        <v>15</v>
      </c>
      <c r="E1600" s="474">
        <v>38867</v>
      </c>
      <c r="F1600" s="475" t="s">
        <v>446</v>
      </c>
      <c r="G1600" s="476">
        <v>12</v>
      </c>
      <c r="H1600" s="475" t="s">
        <v>1231</v>
      </c>
      <c r="I1600" s="487" t="s">
        <v>1232</v>
      </c>
      <c r="J1600" s="509">
        <v>718.75</v>
      </c>
    </row>
    <row r="1601" spans="1:10" ht="20.25" customHeight="1">
      <c r="A1601" s="471">
        <v>5111</v>
      </c>
      <c r="B1601" s="474" t="s">
        <v>1217</v>
      </c>
      <c r="C1601" s="473">
        <v>257</v>
      </c>
      <c r="D1601" s="478">
        <v>15</v>
      </c>
      <c r="E1601" s="474">
        <v>38867</v>
      </c>
      <c r="F1601" s="475" t="s">
        <v>446</v>
      </c>
      <c r="G1601" s="476">
        <v>12</v>
      </c>
      <c r="H1601" s="475" t="s">
        <v>1231</v>
      </c>
      <c r="I1601" s="487" t="s">
        <v>1232</v>
      </c>
      <c r="J1601" s="509">
        <v>718.75</v>
      </c>
    </row>
    <row r="1602" spans="1:10" ht="20.25" customHeight="1">
      <c r="A1602" s="471">
        <v>5111</v>
      </c>
      <c r="B1602" s="474" t="s">
        <v>1217</v>
      </c>
      <c r="C1602" s="473">
        <v>258</v>
      </c>
      <c r="D1602" s="478">
        <v>15</v>
      </c>
      <c r="E1602" s="474">
        <v>38867</v>
      </c>
      <c r="F1602" s="475" t="s">
        <v>446</v>
      </c>
      <c r="G1602" s="476">
        <v>12</v>
      </c>
      <c r="H1602" s="475" t="s">
        <v>1231</v>
      </c>
      <c r="I1602" s="487" t="s">
        <v>1232</v>
      </c>
      <c r="J1602" s="509">
        <v>718.75</v>
      </c>
    </row>
    <row r="1603" spans="1:10" ht="20.25" customHeight="1">
      <c r="A1603" s="471">
        <v>5111</v>
      </c>
      <c r="B1603" s="474" t="s">
        <v>1217</v>
      </c>
      <c r="C1603" s="473">
        <v>259</v>
      </c>
      <c r="D1603" s="478">
        <v>15</v>
      </c>
      <c r="E1603" s="474">
        <v>38867</v>
      </c>
      <c r="F1603" s="475" t="s">
        <v>446</v>
      </c>
      <c r="G1603" s="476">
        <v>12</v>
      </c>
      <c r="H1603" s="475" t="s">
        <v>1231</v>
      </c>
      <c r="I1603" s="487" t="s">
        <v>1232</v>
      </c>
      <c r="J1603" s="509">
        <v>718.75</v>
      </c>
    </row>
    <row r="1604" spans="1:10" ht="20.25" customHeight="1">
      <c r="A1604" s="471">
        <v>5111</v>
      </c>
      <c r="B1604" s="474" t="s">
        <v>1217</v>
      </c>
      <c r="C1604" s="473">
        <v>260</v>
      </c>
      <c r="D1604" s="478">
        <v>15</v>
      </c>
      <c r="E1604" s="474">
        <v>38867</v>
      </c>
      <c r="F1604" s="475" t="s">
        <v>446</v>
      </c>
      <c r="G1604" s="476">
        <v>12</v>
      </c>
      <c r="H1604" s="475" t="s">
        <v>1231</v>
      </c>
      <c r="I1604" s="487" t="s">
        <v>1232</v>
      </c>
      <c r="J1604" s="509">
        <v>718.75</v>
      </c>
    </row>
    <row r="1605" spans="1:10" ht="20.25" customHeight="1">
      <c r="A1605" s="471">
        <v>5111</v>
      </c>
      <c r="B1605" s="474" t="s">
        <v>1217</v>
      </c>
      <c r="C1605" s="473">
        <v>261</v>
      </c>
      <c r="D1605" s="478">
        <v>15</v>
      </c>
      <c r="E1605" s="474">
        <v>38867</v>
      </c>
      <c r="F1605" s="475" t="s">
        <v>446</v>
      </c>
      <c r="G1605" s="476">
        <v>12</v>
      </c>
      <c r="H1605" s="475" t="s">
        <v>1231</v>
      </c>
      <c r="I1605" s="487" t="s">
        <v>1232</v>
      </c>
      <c r="J1605" s="509">
        <v>718.75</v>
      </c>
    </row>
    <row r="1606" spans="1:10" ht="20.25" customHeight="1">
      <c r="A1606" s="471">
        <v>5111</v>
      </c>
      <c r="B1606" s="474" t="s">
        <v>1217</v>
      </c>
      <c r="C1606" s="473">
        <v>262</v>
      </c>
      <c r="D1606" s="478">
        <v>15</v>
      </c>
      <c r="E1606" s="474">
        <v>38867</v>
      </c>
      <c r="F1606" s="475" t="s">
        <v>446</v>
      </c>
      <c r="G1606" s="476">
        <v>12</v>
      </c>
      <c r="H1606" s="475" t="s">
        <v>1231</v>
      </c>
      <c r="I1606" s="487" t="s">
        <v>1232</v>
      </c>
      <c r="J1606" s="509">
        <v>718.75</v>
      </c>
    </row>
    <row r="1607" spans="1:10" ht="20.25" customHeight="1">
      <c r="A1607" s="471">
        <v>5111</v>
      </c>
      <c r="B1607" s="474" t="s">
        <v>1217</v>
      </c>
      <c r="C1607" s="473">
        <v>263</v>
      </c>
      <c r="D1607" s="478">
        <v>15</v>
      </c>
      <c r="E1607" s="474">
        <v>38867</v>
      </c>
      <c r="F1607" s="475" t="s">
        <v>446</v>
      </c>
      <c r="G1607" s="476">
        <v>12</v>
      </c>
      <c r="H1607" s="475" t="s">
        <v>1231</v>
      </c>
      <c r="I1607" s="487" t="s">
        <v>1232</v>
      </c>
      <c r="J1607" s="509">
        <v>718.75</v>
      </c>
    </row>
    <row r="1608" spans="1:10" ht="20.25" customHeight="1">
      <c r="A1608" s="471">
        <v>5111</v>
      </c>
      <c r="B1608" s="474" t="s">
        <v>1217</v>
      </c>
      <c r="C1608" s="473">
        <v>264</v>
      </c>
      <c r="D1608" s="478">
        <v>15</v>
      </c>
      <c r="E1608" s="474">
        <v>38867</v>
      </c>
      <c r="F1608" s="475" t="s">
        <v>446</v>
      </c>
      <c r="G1608" s="476">
        <v>12</v>
      </c>
      <c r="H1608" s="475" t="s">
        <v>1231</v>
      </c>
      <c r="I1608" s="487" t="s">
        <v>1232</v>
      </c>
      <c r="J1608" s="509">
        <v>718.75</v>
      </c>
    </row>
    <row r="1609" spans="1:10" ht="20.25" customHeight="1">
      <c r="A1609" s="471">
        <v>5111</v>
      </c>
      <c r="B1609" s="474" t="s">
        <v>1217</v>
      </c>
      <c r="C1609" s="473">
        <v>265</v>
      </c>
      <c r="D1609" s="478">
        <v>15</v>
      </c>
      <c r="E1609" s="474">
        <v>38867</v>
      </c>
      <c r="F1609" s="475" t="s">
        <v>446</v>
      </c>
      <c r="G1609" s="476">
        <v>12</v>
      </c>
      <c r="H1609" s="475" t="s">
        <v>1231</v>
      </c>
      <c r="I1609" s="487" t="s">
        <v>1232</v>
      </c>
      <c r="J1609" s="509">
        <v>718.75</v>
      </c>
    </row>
    <row r="1610" spans="1:10" ht="20.25" customHeight="1">
      <c r="A1610" s="471">
        <v>5111</v>
      </c>
      <c r="B1610" s="474" t="s">
        <v>1217</v>
      </c>
      <c r="C1610" s="473">
        <v>266</v>
      </c>
      <c r="D1610" s="478">
        <v>15</v>
      </c>
      <c r="E1610" s="474">
        <v>38867</v>
      </c>
      <c r="F1610" s="475" t="s">
        <v>446</v>
      </c>
      <c r="G1610" s="476">
        <v>12</v>
      </c>
      <c r="H1610" s="475" t="s">
        <v>1231</v>
      </c>
      <c r="I1610" s="487" t="s">
        <v>1232</v>
      </c>
      <c r="J1610" s="509">
        <v>718.75</v>
      </c>
    </row>
    <row r="1611" spans="1:10" ht="20.25" customHeight="1">
      <c r="A1611" s="471">
        <v>5111</v>
      </c>
      <c r="B1611" s="474" t="s">
        <v>1217</v>
      </c>
      <c r="C1611" s="473">
        <v>267</v>
      </c>
      <c r="D1611" s="478">
        <v>15</v>
      </c>
      <c r="E1611" s="474">
        <v>38867</v>
      </c>
      <c r="F1611" s="475" t="s">
        <v>446</v>
      </c>
      <c r="G1611" s="476">
        <v>12</v>
      </c>
      <c r="H1611" s="475" t="s">
        <v>1231</v>
      </c>
      <c r="I1611" s="487" t="s">
        <v>1232</v>
      </c>
      <c r="J1611" s="509">
        <v>718.75</v>
      </c>
    </row>
    <row r="1612" spans="1:10" ht="20.25" customHeight="1">
      <c r="A1612" s="471">
        <v>5111</v>
      </c>
      <c r="B1612" s="474" t="s">
        <v>1217</v>
      </c>
      <c r="C1612" s="473">
        <v>268</v>
      </c>
      <c r="D1612" s="478">
        <v>15</v>
      </c>
      <c r="E1612" s="474">
        <v>38867</v>
      </c>
      <c r="F1612" s="475" t="s">
        <v>446</v>
      </c>
      <c r="G1612" s="476">
        <v>12</v>
      </c>
      <c r="H1612" s="475" t="s">
        <v>1231</v>
      </c>
      <c r="I1612" s="487" t="s">
        <v>1232</v>
      </c>
      <c r="J1612" s="509">
        <v>718.75</v>
      </c>
    </row>
    <row r="1613" spans="1:10" ht="20.25" customHeight="1">
      <c r="A1613" s="471">
        <v>5111</v>
      </c>
      <c r="B1613" s="474" t="s">
        <v>1217</v>
      </c>
      <c r="C1613" s="473">
        <v>269</v>
      </c>
      <c r="D1613" s="478">
        <v>15</v>
      </c>
      <c r="E1613" s="474">
        <v>38867</v>
      </c>
      <c r="F1613" s="475" t="s">
        <v>446</v>
      </c>
      <c r="G1613" s="476">
        <v>12</v>
      </c>
      <c r="H1613" s="475" t="s">
        <v>1231</v>
      </c>
      <c r="I1613" s="487" t="s">
        <v>1232</v>
      </c>
      <c r="J1613" s="509">
        <v>718.75</v>
      </c>
    </row>
    <row r="1614" spans="1:10" ht="20.25" customHeight="1">
      <c r="A1614" s="471">
        <v>5111</v>
      </c>
      <c r="B1614" s="474" t="s">
        <v>1217</v>
      </c>
      <c r="C1614" s="473">
        <v>270</v>
      </c>
      <c r="D1614" s="478">
        <v>15</v>
      </c>
      <c r="E1614" s="474">
        <v>38867</v>
      </c>
      <c r="F1614" s="475" t="s">
        <v>446</v>
      </c>
      <c r="G1614" s="476">
        <v>12</v>
      </c>
      <c r="H1614" s="475" t="s">
        <v>1231</v>
      </c>
      <c r="I1614" s="487" t="s">
        <v>1232</v>
      </c>
      <c r="J1614" s="509">
        <v>718.75</v>
      </c>
    </row>
    <row r="1615" spans="1:10" ht="20.25" customHeight="1">
      <c r="A1615" s="471">
        <v>5111</v>
      </c>
      <c r="B1615" s="474" t="s">
        <v>1217</v>
      </c>
      <c r="C1615" s="473">
        <v>271</v>
      </c>
      <c r="D1615" s="478">
        <v>15</v>
      </c>
      <c r="E1615" s="474">
        <v>38867</v>
      </c>
      <c r="F1615" s="475" t="s">
        <v>446</v>
      </c>
      <c r="G1615" s="476">
        <v>12</v>
      </c>
      <c r="H1615" s="475" t="s">
        <v>1231</v>
      </c>
      <c r="I1615" s="487" t="s">
        <v>1232</v>
      </c>
      <c r="J1615" s="509">
        <v>718.75</v>
      </c>
    </row>
    <row r="1616" spans="1:10" ht="20.25" customHeight="1">
      <c r="A1616" s="471">
        <v>5111</v>
      </c>
      <c r="B1616" s="474" t="s">
        <v>1217</v>
      </c>
      <c r="C1616" s="473">
        <v>272</v>
      </c>
      <c r="D1616" s="478">
        <v>15</v>
      </c>
      <c r="E1616" s="474">
        <v>38867</v>
      </c>
      <c r="F1616" s="475" t="s">
        <v>446</v>
      </c>
      <c r="G1616" s="476">
        <v>12</v>
      </c>
      <c r="H1616" s="475" t="s">
        <v>1231</v>
      </c>
      <c r="I1616" s="487" t="s">
        <v>1232</v>
      </c>
      <c r="J1616" s="509">
        <v>718.75</v>
      </c>
    </row>
    <row r="1617" spans="1:10" ht="20.25" customHeight="1">
      <c r="A1617" s="471">
        <v>5111</v>
      </c>
      <c r="B1617" s="474" t="s">
        <v>1217</v>
      </c>
      <c r="C1617" s="473">
        <v>273</v>
      </c>
      <c r="D1617" s="478">
        <v>15</v>
      </c>
      <c r="E1617" s="474">
        <v>38867</v>
      </c>
      <c r="F1617" s="475" t="s">
        <v>446</v>
      </c>
      <c r="G1617" s="476">
        <v>12</v>
      </c>
      <c r="H1617" s="475" t="s">
        <v>1231</v>
      </c>
      <c r="I1617" s="487" t="s">
        <v>1232</v>
      </c>
      <c r="J1617" s="509">
        <v>718.75</v>
      </c>
    </row>
    <row r="1618" spans="1:10" ht="20.25" customHeight="1">
      <c r="A1618" s="471">
        <v>5111</v>
      </c>
      <c r="B1618" s="474" t="s">
        <v>1217</v>
      </c>
      <c r="C1618" s="473">
        <v>274</v>
      </c>
      <c r="D1618" s="478">
        <v>15</v>
      </c>
      <c r="E1618" s="474">
        <v>38867</v>
      </c>
      <c r="F1618" s="475" t="s">
        <v>446</v>
      </c>
      <c r="G1618" s="476">
        <v>12</v>
      </c>
      <c r="H1618" s="475" t="s">
        <v>1231</v>
      </c>
      <c r="I1618" s="487" t="s">
        <v>1232</v>
      </c>
      <c r="J1618" s="509">
        <v>718.75</v>
      </c>
    </row>
    <row r="1619" spans="1:10" ht="20.25" customHeight="1">
      <c r="A1619" s="471">
        <v>5111</v>
      </c>
      <c r="B1619" s="474" t="s">
        <v>1217</v>
      </c>
      <c r="C1619" s="473">
        <v>275</v>
      </c>
      <c r="D1619" s="478">
        <v>15</v>
      </c>
      <c r="E1619" s="474">
        <v>38867</v>
      </c>
      <c r="F1619" s="475" t="s">
        <v>446</v>
      </c>
      <c r="G1619" s="476">
        <v>12</v>
      </c>
      <c r="H1619" s="475" t="s">
        <v>1231</v>
      </c>
      <c r="I1619" s="487" t="s">
        <v>1232</v>
      </c>
      <c r="J1619" s="509">
        <v>718.75</v>
      </c>
    </row>
    <row r="1620" spans="1:10" ht="20.25" customHeight="1">
      <c r="A1620" s="471">
        <v>5111</v>
      </c>
      <c r="B1620" s="474" t="s">
        <v>1217</v>
      </c>
      <c r="C1620" s="473">
        <v>276</v>
      </c>
      <c r="D1620" s="478">
        <v>15</v>
      </c>
      <c r="E1620" s="474">
        <v>38867</v>
      </c>
      <c r="F1620" s="475" t="s">
        <v>446</v>
      </c>
      <c r="G1620" s="476">
        <v>12</v>
      </c>
      <c r="H1620" s="475" t="s">
        <v>1231</v>
      </c>
      <c r="I1620" s="487" t="s">
        <v>1232</v>
      </c>
      <c r="J1620" s="509">
        <v>718.75</v>
      </c>
    </row>
    <row r="1621" spans="1:10" ht="20.25" customHeight="1">
      <c r="A1621" s="471">
        <v>5111</v>
      </c>
      <c r="B1621" s="474" t="s">
        <v>1217</v>
      </c>
      <c r="C1621" s="473">
        <v>277</v>
      </c>
      <c r="D1621" s="478">
        <v>15</v>
      </c>
      <c r="E1621" s="474">
        <v>38867</v>
      </c>
      <c r="F1621" s="475" t="s">
        <v>446</v>
      </c>
      <c r="G1621" s="476">
        <v>12</v>
      </c>
      <c r="H1621" s="475" t="s">
        <v>1231</v>
      </c>
      <c r="I1621" s="487" t="s">
        <v>1232</v>
      </c>
      <c r="J1621" s="509">
        <v>718.75</v>
      </c>
    </row>
    <row r="1622" spans="1:10" ht="20.25" customHeight="1">
      <c r="A1622" s="471">
        <v>5111</v>
      </c>
      <c r="B1622" s="474" t="s">
        <v>1217</v>
      </c>
      <c r="C1622" s="473">
        <v>278</v>
      </c>
      <c r="D1622" s="478">
        <v>15</v>
      </c>
      <c r="E1622" s="474">
        <v>38867</v>
      </c>
      <c r="F1622" s="475" t="s">
        <v>446</v>
      </c>
      <c r="G1622" s="476">
        <v>12</v>
      </c>
      <c r="H1622" s="475" t="s">
        <v>1231</v>
      </c>
      <c r="I1622" s="487" t="s">
        <v>1232</v>
      </c>
      <c r="J1622" s="509">
        <v>718.75</v>
      </c>
    </row>
    <row r="1623" spans="1:10" ht="20.25" customHeight="1">
      <c r="A1623" s="471">
        <v>5111</v>
      </c>
      <c r="B1623" s="474" t="s">
        <v>1217</v>
      </c>
      <c r="C1623" s="473">
        <v>279</v>
      </c>
      <c r="D1623" s="478">
        <v>15</v>
      </c>
      <c r="E1623" s="474">
        <v>38867</v>
      </c>
      <c r="F1623" s="475" t="s">
        <v>446</v>
      </c>
      <c r="G1623" s="476">
        <v>12</v>
      </c>
      <c r="H1623" s="475" t="s">
        <v>1231</v>
      </c>
      <c r="I1623" s="487" t="s">
        <v>1232</v>
      </c>
      <c r="J1623" s="509">
        <v>718.75</v>
      </c>
    </row>
    <row r="1624" spans="1:10" ht="20.25" customHeight="1">
      <c r="A1624" s="471">
        <v>5111</v>
      </c>
      <c r="B1624" s="474" t="s">
        <v>1217</v>
      </c>
      <c r="C1624" s="473">
        <v>280</v>
      </c>
      <c r="D1624" s="478">
        <v>15</v>
      </c>
      <c r="E1624" s="474">
        <v>38867</v>
      </c>
      <c r="F1624" s="475" t="s">
        <v>446</v>
      </c>
      <c r="G1624" s="476">
        <v>12</v>
      </c>
      <c r="H1624" s="475" t="s">
        <v>1231</v>
      </c>
      <c r="I1624" s="487" t="s">
        <v>1232</v>
      </c>
      <c r="J1624" s="509">
        <v>718.75</v>
      </c>
    </row>
    <row r="1625" spans="1:10" ht="20.25" customHeight="1">
      <c r="A1625" s="471">
        <v>5111</v>
      </c>
      <c r="B1625" s="474" t="s">
        <v>1217</v>
      </c>
      <c r="C1625" s="473">
        <v>281</v>
      </c>
      <c r="D1625" s="478">
        <v>15</v>
      </c>
      <c r="E1625" s="474">
        <v>38867</v>
      </c>
      <c r="F1625" s="475" t="s">
        <v>446</v>
      </c>
      <c r="G1625" s="476">
        <v>12</v>
      </c>
      <c r="H1625" s="475" t="s">
        <v>1231</v>
      </c>
      <c r="I1625" s="487" t="s">
        <v>1232</v>
      </c>
      <c r="J1625" s="509">
        <v>718.75</v>
      </c>
    </row>
    <row r="1626" spans="1:10" ht="20.25" customHeight="1">
      <c r="A1626" s="471">
        <v>5111</v>
      </c>
      <c r="B1626" s="474" t="s">
        <v>1217</v>
      </c>
      <c r="C1626" s="473">
        <v>282</v>
      </c>
      <c r="D1626" s="478">
        <v>15</v>
      </c>
      <c r="E1626" s="474">
        <v>38867</v>
      </c>
      <c r="F1626" s="475" t="s">
        <v>446</v>
      </c>
      <c r="G1626" s="476">
        <v>12</v>
      </c>
      <c r="H1626" s="475" t="s">
        <v>1231</v>
      </c>
      <c r="I1626" s="487" t="s">
        <v>1232</v>
      </c>
      <c r="J1626" s="509">
        <v>718.75</v>
      </c>
    </row>
    <row r="1627" spans="1:10" ht="20.25" customHeight="1">
      <c r="A1627" s="471">
        <v>5111</v>
      </c>
      <c r="B1627" s="474" t="s">
        <v>1217</v>
      </c>
      <c r="C1627" s="473">
        <v>283</v>
      </c>
      <c r="D1627" s="478">
        <v>15</v>
      </c>
      <c r="E1627" s="474">
        <v>38867</v>
      </c>
      <c r="F1627" s="475" t="s">
        <v>446</v>
      </c>
      <c r="G1627" s="476">
        <v>12</v>
      </c>
      <c r="H1627" s="475" t="s">
        <v>1231</v>
      </c>
      <c r="I1627" s="487" t="s">
        <v>1232</v>
      </c>
      <c r="J1627" s="509">
        <v>718.75</v>
      </c>
    </row>
    <row r="1628" spans="1:10" ht="20.25" customHeight="1">
      <c r="A1628" s="471">
        <v>5111</v>
      </c>
      <c r="B1628" s="474" t="s">
        <v>1217</v>
      </c>
      <c r="C1628" s="473">
        <v>284</v>
      </c>
      <c r="D1628" s="478">
        <v>15</v>
      </c>
      <c r="E1628" s="474">
        <v>38867</v>
      </c>
      <c r="F1628" s="475" t="s">
        <v>446</v>
      </c>
      <c r="G1628" s="476">
        <v>12</v>
      </c>
      <c r="H1628" s="475" t="s">
        <v>1231</v>
      </c>
      <c r="I1628" s="487" t="s">
        <v>1232</v>
      </c>
      <c r="J1628" s="509">
        <v>718.75</v>
      </c>
    </row>
    <row r="1629" spans="1:10" ht="20.25" customHeight="1">
      <c r="A1629" s="471">
        <v>5111</v>
      </c>
      <c r="B1629" s="474" t="s">
        <v>1217</v>
      </c>
      <c r="C1629" s="473">
        <v>285</v>
      </c>
      <c r="D1629" s="478">
        <v>15</v>
      </c>
      <c r="E1629" s="474">
        <v>38867</v>
      </c>
      <c r="F1629" s="475" t="s">
        <v>446</v>
      </c>
      <c r="G1629" s="476">
        <v>12</v>
      </c>
      <c r="H1629" s="475" t="s">
        <v>1231</v>
      </c>
      <c r="I1629" s="487" t="s">
        <v>1232</v>
      </c>
      <c r="J1629" s="509">
        <v>718.75</v>
      </c>
    </row>
    <row r="1630" spans="1:10" ht="20.25" customHeight="1">
      <c r="A1630" s="471">
        <v>5111</v>
      </c>
      <c r="B1630" s="474" t="s">
        <v>1217</v>
      </c>
      <c r="C1630" s="473">
        <v>286</v>
      </c>
      <c r="D1630" s="478">
        <v>15</v>
      </c>
      <c r="E1630" s="474">
        <v>38867</v>
      </c>
      <c r="F1630" s="475" t="s">
        <v>446</v>
      </c>
      <c r="G1630" s="476">
        <v>12</v>
      </c>
      <c r="H1630" s="475" t="s">
        <v>1231</v>
      </c>
      <c r="I1630" s="487" t="s">
        <v>1232</v>
      </c>
      <c r="J1630" s="509">
        <v>718.75</v>
      </c>
    </row>
    <row r="1631" spans="1:10" ht="20.25" customHeight="1">
      <c r="A1631" s="471">
        <v>5111</v>
      </c>
      <c r="B1631" s="474" t="s">
        <v>1217</v>
      </c>
      <c r="C1631" s="473">
        <v>287</v>
      </c>
      <c r="D1631" s="478">
        <v>15</v>
      </c>
      <c r="E1631" s="474">
        <v>38867</v>
      </c>
      <c r="F1631" s="475" t="s">
        <v>446</v>
      </c>
      <c r="G1631" s="476">
        <v>12</v>
      </c>
      <c r="H1631" s="475" t="s">
        <v>1231</v>
      </c>
      <c r="I1631" s="487" t="s">
        <v>1232</v>
      </c>
      <c r="J1631" s="509">
        <v>718.75</v>
      </c>
    </row>
    <row r="1632" spans="1:10" ht="20.25" customHeight="1">
      <c r="A1632" s="471">
        <v>5111</v>
      </c>
      <c r="B1632" s="474" t="s">
        <v>1217</v>
      </c>
      <c r="C1632" s="473">
        <v>288</v>
      </c>
      <c r="D1632" s="478">
        <v>15</v>
      </c>
      <c r="E1632" s="474">
        <v>38867</v>
      </c>
      <c r="F1632" s="475" t="s">
        <v>446</v>
      </c>
      <c r="G1632" s="476">
        <v>12</v>
      </c>
      <c r="H1632" s="475" t="s">
        <v>1231</v>
      </c>
      <c r="I1632" s="487" t="s">
        <v>1232</v>
      </c>
      <c r="J1632" s="509">
        <v>718.75</v>
      </c>
    </row>
    <row r="1633" spans="1:10" ht="20.25" customHeight="1">
      <c r="A1633" s="471">
        <v>5111</v>
      </c>
      <c r="B1633" s="474" t="s">
        <v>1217</v>
      </c>
      <c r="C1633" s="473">
        <v>289</v>
      </c>
      <c r="D1633" s="478">
        <v>15</v>
      </c>
      <c r="E1633" s="474">
        <v>38867</v>
      </c>
      <c r="F1633" s="475" t="s">
        <v>446</v>
      </c>
      <c r="G1633" s="476">
        <v>12</v>
      </c>
      <c r="H1633" s="475" t="s">
        <v>1231</v>
      </c>
      <c r="I1633" s="487" t="s">
        <v>1232</v>
      </c>
      <c r="J1633" s="509">
        <v>718.75</v>
      </c>
    </row>
    <row r="1634" spans="1:10" ht="20.25" customHeight="1">
      <c r="A1634" s="471">
        <v>5111</v>
      </c>
      <c r="B1634" s="474" t="s">
        <v>1217</v>
      </c>
      <c r="C1634" s="473">
        <v>290</v>
      </c>
      <c r="D1634" s="478">
        <v>15</v>
      </c>
      <c r="E1634" s="474">
        <v>38867</v>
      </c>
      <c r="F1634" s="475" t="s">
        <v>446</v>
      </c>
      <c r="G1634" s="476">
        <v>12</v>
      </c>
      <c r="H1634" s="475" t="s">
        <v>1231</v>
      </c>
      <c r="I1634" s="487" t="s">
        <v>1232</v>
      </c>
      <c r="J1634" s="509">
        <v>718.75</v>
      </c>
    </row>
    <row r="1635" spans="1:10" ht="20.25" customHeight="1">
      <c r="A1635" s="471">
        <v>5111</v>
      </c>
      <c r="B1635" s="474" t="s">
        <v>1217</v>
      </c>
      <c r="C1635" s="473">
        <v>291</v>
      </c>
      <c r="D1635" s="478">
        <v>15</v>
      </c>
      <c r="E1635" s="474">
        <v>38867</v>
      </c>
      <c r="F1635" s="475" t="s">
        <v>446</v>
      </c>
      <c r="G1635" s="476">
        <v>12</v>
      </c>
      <c r="H1635" s="475" t="s">
        <v>1231</v>
      </c>
      <c r="I1635" s="487" t="s">
        <v>1232</v>
      </c>
      <c r="J1635" s="509">
        <v>718.75</v>
      </c>
    </row>
    <row r="1636" spans="1:10" ht="20.25" customHeight="1">
      <c r="A1636" s="471">
        <v>5111</v>
      </c>
      <c r="B1636" s="474" t="s">
        <v>1217</v>
      </c>
      <c r="C1636" s="473">
        <v>292</v>
      </c>
      <c r="D1636" s="478">
        <v>15</v>
      </c>
      <c r="E1636" s="474">
        <v>38867</v>
      </c>
      <c r="F1636" s="475" t="s">
        <v>446</v>
      </c>
      <c r="G1636" s="476">
        <v>12</v>
      </c>
      <c r="H1636" s="475" t="s">
        <v>1231</v>
      </c>
      <c r="I1636" s="487" t="s">
        <v>1232</v>
      </c>
      <c r="J1636" s="509">
        <v>718.75</v>
      </c>
    </row>
    <row r="1637" spans="1:10" ht="20.25" customHeight="1">
      <c r="A1637" s="471">
        <v>5111</v>
      </c>
      <c r="B1637" s="474" t="s">
        <v>1217</v>
      </c>
      <c r="C1637" s="473">
        <v>293</v>
      </c>
      <c r="D1637" s="478">
        <v>15</v>
      </c>
      <c r="E1637" s="474">
        <v>38867</v>
      </c>
      <c r="F1637" s="475" t="s">
        <v>446</v>
      </c>
      <c r="G1637" s="476">
        <v>12</v>
      </c>
      <c r="H1637" s="475" t="s">
        <v>1231</v>
      </c>
      <c r="I1637" s="487" t="s">
        <v>1232</v>
      </c>
      <c r="J1637" s="509">
        <v>718.75</v>
      </c>
    </row>
    <row r="1638" spans="1:10" ht="20.25" customHeight="1">
      <c r="A1638" s="471">
        <v>5111</v>
      </c>
      <c r="B1638" s="474" t="s">
        <v>1217</v>
      </c>
      <c r="C1638" s="473">
        <v>294</v>
      </c>
      <c r="D1638" s="478">
        <v>15</v>
      </c>
      <c r="E1638" s="474">
        <v>38867</v>
      </c>
      <c r="F1638" s="475" t="s">
        <v>446</v>
      </c>
      <c r="G1638" s="476">
        <v>12</v>
      </c>
      <c r="H1638" s="475" t="s">
        <v>1231</v>
      </c>
      <c r="I1638" s="487" t="s">
        <v>1232</v>
      </c>
      <c r="J1638" s="509">
        <v>718.75</v>
      </c>
    </row>
    <row r="1639" spans="1:10" ht="20.25" customHeight="1">
      <c r="A1639" s="471">
        <v>5111</v>
      </c>
      <c r="B1639" s="474" t="s">
        <v>1217</v>
      </c>
      <c r="C1639" s="473">
        <v>295</v>
      </c>
      <c r="D1639" s="478">
        <v>15</v>
      </c>
      <c r="E1639" s="474">
        <v>38867</v>
      </c>
      <c r="F1639" s="475" t="s">
        <v>446</v>
      </c>
      <c r="G1639" s="476">
        <v>12</v>
      </c>
      <c r="H1639" s="475" t="s">
        <v>1231</v>
      </c>
      <c r="I1639" s="487" t="s">
        <v>1232</v>
      </c>
      <c r="J1639" s="509">
        <v>718.75</v>
      </c>
    </row>
    <row r="1640" spans="1:10" ht="20.25" customHeight="1">
      <c r="A1640" s="471">
        <v>5111</v>
      </c>
      <c r="B1640" s="474" t="s">
        <v>1217</v>
      </c>
      <c r="C1640" s="473">
        <v>296</v>
      </c>
      <c r="D1640" s="478">
        <v>15</v>
      </c>
      <c r="E1640" s="474">
        <v>38867</v>
      </c>
      <c r="F1640" s="475" t="s">
        <v>446</v>
      </c>
      <c r="G1640" s="476">
        <v>12</v>
      </c>
      <c r="H1640" s="475" t="s">
        <v>1231</v>
      </c>
      <c r="I1640" s="487" t="s">
        <v>1232</v>
      </c>
      <c r="J1640" s="509">
        <v>718.75</v>
      </c>
    </row>
    <row r="1641" spans="1:10" ht="20.25" customHeight="1">
      <c r="A1641" s="471">
        <v>5111</v>
      </c>
      <c r="B1641" s="474" t="s">
        <v>1217</v>
      </c>
      <c r="C1641" s="473">
        <v>297</v>
      </c>
      <c r="D1641" s="478">
        <v>15</v>
      </c>
      <c r="E1641" s="474">
        <v>38867</v>
      </c>
      <c r="F1641" s="475" t="s">
        <v>446</v>
      </c>
      <c r="G1641" s="476">
        <v>12</v>
      </c>
      <c r="H1641" s="475" t="s">
        <v>1231</v>
      </c>
      <c r="I1641" s="487" t="s">
        <v>1232</v>
      </c>
      <c r="J1641" s="509">
        <v>718.75</v>
      </c>
    </row>
    <row r="1642" spans="1:10" ht="20.25" customHeight="1">
      <c r="A1642" s="471">
        <v>5111</v>
      </c>
      <c r="B1642" s="474" t="s">
        <v>1217</v>
      </c>
      <c r="C1642" s="473">
        <v>298</v>
      </c>
      <c r="D1642" s="478">
        <v>15</v>
      </c>
      <c r="E1642" s="474">
        <v>38867</v>
      </c>
      <c r="F1642" s="475" t="s">
        <v>446</v>
      </c>
      <c r="G1642" s="476">
        <v>12</v>
      </c>
      <c r="H1642" s="475" t="s">
        <v>1231</v>
      </c>
      <c r="I1642" s="487" t="s">
        <v>1232</v>
      </c>
      <c r="J1642" s="509">
        <v>718.75</v>
      </c>
    </row>
    <row r="1643" spans="1:10" ht="20.25" customHeight="1">
      <c r="A1643" s="471">
        <v>5111</v>
      </c>
      <c r="B1643" s="474" t="s">
        <v>1217</v>
      </c>
      <c r="C1643" s="473">
        <v>299</v>
      </c>
      <c r="D1643" s="478">
        <v>15</v>
      </c>
      <c r="E1643" s="474">
        <v>38867</v>
      </c>
      <c r="F1643" s="475" t="s">
        <v>446</v>
      </c>
      <c r="G1643" s="476">
        <v>12</v>
      </c>
      <c r="H1643" s="475" t="s">
        <v>1231</v>
      </c>
      <c r="I1643" s="487" t="s">
        <v>1232</v>
      </c>
      <c r="J1643" s="509">
        <v>718.75</v>
      </c>
    </row>
    <row r="1644" spans="1:10" ht="20.25" customHeight="1">
      <c r="A1644" s="471">
        <v>5111</v>
      </c>
      <c r="B1644" s="474" t="s">
        <v>1217</v>
      </c>
      <c r="C1644" s="473">
        <v>300</v>
      </c>
      <c r="D1644" s="478">
        <v>15</v>
      </c>
      <c r="E1644" s="474">
        <v>38867</v>
      </c>
      <c r="F1644" s="475" t="s">
        <v>446</v>
      </c>
      <c r="G1644" s="476">
        <v>12</v>
      </c>
      <c r="H1644" s="475" t="s">
        <v>1231</v>
      </c>
      <c r="I1644" s="487" t="s">
        <v>1232</v>
      </c>
      <c r="J1644" s="509">
        <v>718.75</v>
      </c>
    </row>
    <row r="1645" spans="1:10" ht="20.25" customHeight="1">
      <c r="A1645" s="471">
        <v>5111</v>
      </c>
      <c r="B1645" s="474" t="s">
        <v>1217</v>
      </c>
      <c r="C1645" s="473">
        <v>301</v>
      </c>
      <c r="D1645" s="478">
        <v>15</v>
      </c>
      <c r="E1645" s="474">
        <v>38867</v>
      </c>
      <c r="F1645" s="475" t="s">
        <v>446</v>
      </c>
      <c r="G1645" s="476">
        <v>12</v>
      </c>
      <c r="H1645" s="475" t="s">
        <v>1231</v>
      </c>
      <c r="I1645" s="487" t="s">
        <v>1232</v>
      </c>
      <c r="J1645" s="509">
        <v>718.75</v>
      </c>
    </row>
    <row r="1646" spans="1:10" ht="20.25" customHeight="1">
      <c r="A1646" s="471">
        <v>5111</v>
      </c>
      <c r="B1646" s="474" t="s">
        <v>1217</v>
      </c>
      <c r="C1646" s="473">
        <v>302</v>
      </c>
      <c r="D1646" s="478">
        <v>15</v>
      </c>
      <c r="E1646" s="474">
        <v>38867</v>
      </c>
      <c r="F1646" s="475" t="s">
        <v>446</v>
      </c>
      <c r="G1646" s="476">
        <v>12</v>
      </c>
      <c r="H1646" s="475" t="s">
        <v>1231</v>
      </c>
      <c r="I1646" s="487" t="s">
        <v>1232</v>
      </c>
      <c r="J1646" s="509">
        <v>718.75</v>
      </c>
    </row>
    <row r="1647" spans="1:10" ht="20.25" customHeight="1">
      <c r="A1647" s="471">
        <v>5111</v>
      </c>
      <c r="B1647" s="474" t="s">
        <v>1217</v>
      </c>
      <c r="C1647" s="473">
        <v>303</v>
      </c>
      <c r="D1647" s="478">
        <v>15</v>
      </c>
      <c r="E1647" s="474">
        <v>38867</v>
      </c>
      <c r="F1647" s="475" t="s">
        <v>446</v>
      </c>
      <c r="G1647" s="476">
        <v>12</v>
      </c>
      <c r="H1647" s="475" t="s">
        <v>1231</v>
      </c>
      <c r="I1647" s="487" t="s">
        <v>1232</v>
      </c>
      <c r="J1647" s="509">
        <v>718.75</v>
      </c>
    </row>
    <row r="1648" spans="1:10" ht="20.25" customHeight="1">
      <c r="A1648" s="471">
        <v>5111</v>
      </c>
      <c r="B1648" s="474" t="s">
        <v>1217</v>
      </c>
      <c r="C1648" s="473">
        <v>304</v>
      </c>
      <c r="D1648" s="478">
        <v>15</v>
      </c>
      <c r="E1648" s="474">
        <v>38867</v>
      </c>
      <c r="F1648" s="475" t="s">
        <v>446</v>
      </c>
      <c r="G1648" s="476">
        <v>12</v>
      </c>
      <c r="H1648" s="475" t="s">
        <v>1231</v>
      </c>
      <c r="I1648" s="487" t="s">
        <v>1232</v>
      </c>
      <c r="J1648" s="509">
        <v>718.75</v>
      </c>
    </row>
    <row r="1649" spans="1:10" ht="20.25" customHeight="1">
      <c r="A1649" s="471">
        <v>5111</v>
      </c>
      <c r="B1649" s="474" t="s">
        <v>1217</v>
      </c>
      <c r="C1649" s="473">
        <v>305</v>
      </c>
      <c r="D1649" s="478">
        <v>15</v>
      </c>
      <c r="E1649" s="474">
        <v>38867</v>
      </c>
      <c r="F1649" s="475" t="s">
        <v>446</v>
      </c>
      <c r="G1649" s="476">
        <v>12</v>
      </c>
      <c r="H1649" s="475" t="s">
        <v>1231</v>
      </c>
      <c r="I1649" s="487" t="s">
        <v>1232</v>
      </c>
      <c r="J1649" s="509">
        <v>718.75</v>
      </c>
    </row>
    <row r="1650" spans="1:10" ht="20.25" customHeight="1">
      <c r="A1650" s="471">
        <v>5111</v>
      </c>
      <c r="B1650" s="474" t="s">
        <v>1217</v>
      </c>
      <c r="C1650" s="473">
        <v>306</v>
      </c>
      <c r="D1650" s="478">
        <v>15</v>
      </c>
      <c r="E1650" s="474">
        <v>38867</v>
      </c>
      <c r="F1650" s="475" t="s">
        <v>446</v>
      </c>
      <c r="G1650" s="476">
        <v>12</v>
      </c>
      <c r="H1650" s="475" t="s">
        <v>1231</v>
      </c>
      <c r="I1650" s="487" t="s">
        <v>1232</v>
      </c>
      <c r="J1650" s="509">
        <v>718.75</v>
      </c>
    </row>
    <row r="1651" spans="1:10" ht="20.25" customHeight="1">
      <c r="A1651" s="471">
        <v>5111</v>
      </c>
      <c r="B1651" s="474" t="s">
        <v>1217</v>
      </c>
      <c r="C1651" s="473">
        <v>307</v>
      </c>
      <c r="D1651" s="478">
        <v>15</v>
      </c>
      <c r="E1651" s="474">
        <v>38867</v>
      </c>
      <c r="F1651" s="475" t="s">
        <v>446</v>
      </c>
      <c r="G1651" s="476">
        <v>12</v>
      </c>
      <c r="H1651" s="475" t="s">
        <v>1231</v>
      </c>
      <c r="I1651" s="487" t="s">
        <v>1232</v>
      </c>
      <c r="J1651" s="509">
        <v>718.75</v>
      </c>
    </row>
    <row r="1652" spans="1:10" ht="20.25" customHeight="1">
      <c r="A1652" s="471">
        <v>5111</v>
      </c>
      <c r="B1652" s="474" t="s">
        <v>1217</v>
      </c>
      <c r="C1652" s="473">
        <v>308</v>
      </c>
      <c r="D1652" s="478">
        <v>15</v>
      </c>
      <c r="E1652" s="474">
        <v>38867</v>
      </c>
      <c r="F1652" s="475" t="s">
        <v>446</v>
      </c>
      <c r="G1652" s="476">
        <v>12</v>
      </c>
      <c r="H1652" s="475" t="s">
        <v>1231</v>
      </c>
      <c r="I1652" s="487" t="s">
        <v>1232</v>
      </c>
      <c r="J1652" s="509">
        <v>718.75</v>
      </c>
    </row>
    <row r="1653" spans="1:10" ht="20.25" customHeight="1">
      <c r="A1653" s="471">
        <v>5111</v>
      </c>
      <c r="B1653" s="474" t="s">
        <v>1217</v>
      </c>
      <c r="C1653" s="473">
        <v>309</v>
      </c>
      <c r="D1653" s="478">
        <v>15</v>
      </c>
      <c r="E1653" s="474">
        <v>38867</v>
      </c>
      <c r="F1653" s="475" t="s">
        <v>446</v>
      </c>
      <c r="G1653" s="476">
        <v>12</v>
      </c>
      <c r="H1653" s="475" t="s">
        <v>1231</v>
      </c>
      <c r="I1653" s="487" t="s">
        <v>1232</v>
      </c>
      <c r="J1653" s="509">
        <v>718.75</v>
      </c>
    </row>
    <row r="1654" spans="1:10" ht="20.25" customHeight="1">
      <c r="A1654" s="471">
        <v>5111</v>
      </c>
      <c r="B1654" s="474" t="s">
        <v>1217</v>
      </c>
      <c r="C1654" s="473">
        <v>310</v>
      </c>
      <c r="D1654" s="478">
        <v>15</v>
      </c>
      <c r="E1654" s="474">
        <v>38867</v>
      </c>
      <c r="F1654" s="475" t="s">
        <v>446</v>
      </c>
      <c r="G1654" s="476">
        <v>12</v>
      </c>
      <c r="H1654" s="475" t="s">
        <v>1231</v>
      </c>
      <c r="I1654" s="487" t="s">
        <v>1232</v>
      </c>
      <c r="J1654" s="509">
        <v>718.75</v>
      </c>
    </row>
    <row r="1655" spans="1:10" ht="20.25" customHeight="1">
      <c r="A1655" s="471">
        <v>5111</v>
      </c>
      <c r="B1655" s="474" t="s">
        <v>1217</v>
      </c>
      <c r="C1655" s="473">
        <v>311</v>
      </c>
      <c r="D1655" s="478">
        <v>15</v>
      </c>
      <c r="E1655" s="474">
        <v>38867</v>
      </c>
      <c r="F1655" s="475" t="s">
        <v>446</v>
      </c>
      <c r="G1655" s="476">
        <v>12</v>
      </c>
      <c r="H1655" s="475" t="s">
        <v>1231</v>
      </c>
      <c r="I1655" s="487" t="s">
        <v>1232</v>
      </c>
      <c r="J1655" s="509">
        <v>718.75</v>
      </c>
    </row>
    <row r="1656" spans="1:10" ht="20.25" customHeight="1">
      <c r="A1656" s="471">
        <v>5111</v>
      </c>
      <c r="B1656" s="474" t="s">
        <v>1217</v>
      </c>
      <c r="C1656" s="473">
        <v>312</v>
      </c>
      <c r="D1656" s="478">
        <v>15</v>
      </c>
      <c r="E1656" s="474">
        <v>38867</v>
      </c>
      <c r="F1656" s="475" t="s">
        <v>446</v>
      </c>
      <c r="G1656" s="476">
        <v>12</v>
      </c>
      <c r="H1656" s="475" t="s">
        <v>1231</v>
      </c>
      <c r="I1656" s="487" t="s">
        <v>1232</v>
      </c>
      <c r="J1656" s="509">
        <v>718.75</v>
      </c>
    </row>
    <row r="1657" spans="1:10" ht="20.25" customHeight="1">
      <c r="A1657" s="471">
        <v>5111</v>
      </c>
      <c r="B1657" s="474" t="s">
        <v>1217</v>
      </c>
      <c r="C1657" s="473">
        <v>313</v>
      </c>
      <c r="D1657" s="478">
        <v>15</v>
      </c>
      <c r="E1657" s="474">
        <v>38867</v>
      </c>
      <c r="F1657" s="475" t="s">
        <v>446</v>
      </c>
      <c r="G1657" s="476">
        <v>12</v>
      </c>
      <c r="H1657" s="475" t="s">
        <v>1231</v>
      </c>
      <c r="I1657" s="487" t="s">
        <v>1232</v>
      </c>
      <c r="J1657" s="509">
        <v>718.75</v>
      </c>
    </row>
    <row r="1658" spans="1:10" ht="20.25" customHeight="1">
      <c r="A1658" s="471">
        <v>5111</v>
      </c>
      <c r="B1658" s="474" t="s">
        <v>1217</v>
      </c>
      <c r="C1658" s="473">
        <v>314</v>
      </c>
      <c r="D1658" s="478">
        <v>15</v>
      </c>
      <c r="E1658" s="474">
        <v>38867</v>
      </c>
      <c r="F1658" s="475" t="s">
        <v>446</v>
      </c>
      <c r="G1658" s="476">
        <v>12</v>
      </c>
      <c r="H1658" s="475" t="s">
        <v>1231</v>
      </c>
      <c r="I1658" s="487" t="s">
        <v>1232</v>
      </c>
      <c r="J1658" s="509">
        <v>718.75</v>
      </c>
    </row>
    <row r="1659" spans="1:10" ht="20.25" customHeight="1">
      <c r="A1659" s="471">
        <v>5111</v>
      </c>
      <c r="B1659" s="474" t="s">
        <v>1217</v>
      </c>
      <c r="C1659" s="473">
        <v>315</v>
      </c>
      <c r="D1659" s="478">
        <v>15</v>
      </c>
      <c r="E1659" s="474">
        <v>38867</v>
      </c>
      <c r="F1659" s="475" t="s">
        <v>446</v>
      </c>
      <c r="G1659" s="476">
        <v>12</v>
      </c>
      <c r="H1659" s="475" t="s">
        <v>1231</v>
      </c>
      <c r="I1659" s="487" t="s">
        <v>1232</v>
      </c>
      <c r="J1659" s="509">
        <v>718.75</v>
      </c>
    </row>
    <row r="1660" spans="1:10" ht="20.25" customHeight="1">
      <c r="A1660" s="471">
        <v>5111</v>
      </c>
      <c r="B1660" s="474" t="s">
        <v>1217</v>
      </c>
      <c r="C1660" s="473">
        <v>316</v>
      </c>
      <c r="D1660" s="478">
        <v>15</v>
      </c>
      <c r="E1660" s="474">
        <v>38867</v>
      </c>
      <c r="F1660" s="475" t="s">
        <v>446</v>
      </c>
      <c r="G1660" s="476">
        <v>12</v>
      </c>
      <c r="H1660" s="475" t="s">
        <v>1231</v>
      </c>
      <c r="I1660" s="487" t="s">
        <v>1232</v>
      </c>
      <c r="J1660" s="509">
        <v>718.75</v>
      </c>
    </row>
    <row r="1661" spans="1:10" ht="20.25" customHeight="1">
      <c r="A1661" s="471">
        <v>5111</v>
      </c>
      <c r="B1661" s="474" t="s">
        <v>1217</v>
      </c>
      <c r="C1661" s="473">
        <v>317</v>
      </c>
      <c r="D1661" s="478">
        <v>15</v>
      </c>
      <c r="E1661" s="474">
        <v>38867</v>
      </c>
      <c r="F1661" s="475" t="s">
        <v>446</v>
      </c>
      <c r="G1661" s="476">
        <v>12</v>
      </c>
      <c r="H1661" s="475" t="s">
        <v>1231</v>
      </c>
      <c r="I1661" s="487" t="s">
        <v>1232</v>
      </c>
      <c r="J1661" s="509">
        <v>718.75</v>
      </c>
    </row>
    <row r="1662" spans="1:10" ht="20.25" customHeight="1">
      <c r="A1662" s="471">
        <v>5111</v>
      </c>
      <c r="B1662" s="474" t="s">
        <v>1217</v>
      </c>
      <c r="C1662" s="473">
        <v>318</v>
      </c>
      <c r="D1662" s="478">
        <v>15</v>
      </c>
      <c r="E1662" s="474">
        <v>38867</v>
      </c>
      <c r="F1662" s="475" t="s">
        <v>446</v>
      </c>
      <c r="G1662" s="476">
        <v>12</v>
      </c>
      <c r="H1662" s="475" t="s">
        <v>1231</v>
      </c>
      <c r="I1662" s="487" t="s">
        <v>1232</v>
      </c>
      <c r="J1662" s="509">
        <v>718.75</v>
      </c>
    </row>
    <row r="1663" spans="1:10" ht="20.25" customHeight="1">
      <c r="A1663" s="471">
        <v>5111</v>
      </c>
      <c r="B1663" s="474" t="s">
        <v>1217</v>
      </c>
      <c r="C1663" s="473">
        <v>319</v>
      </c>
      <c r="D1663" s="478">
        <v>15</v>
      </c>
      <c r="E1663" s="474">
        <v>38867</v>
      </c>
      <c r="F1663" s="475" t="s">
        <v>446</v>
      </c>
      <c r="G1663" s="476">
        <v>12</v>
      </c>
      <c r="H1663" s="475" t="s">
        <v>1231</v>
      </c>
      <c r="I1663" s="487" t="s">
        <v>1232</v>
      </c>
      <c r="J1663" s="509">
        <v>718.75</v>
      </c>
    </row>
    <row r="1664" spans="1:10" ht="20.25" customHeight="1">
      <c r="A1664" s="471">
        <v>5111</v>
      </c>
      <c r="B1664" s="474" t="s">
        <v>1217</v>
      </c>
      <c r="C1664" s="473">
        <v>320</v>
      </c>
      <c r="D1664" s="478">
        <v>15</v>
      </c>
      <c r="E1664" s="474">
        <v>38867</v>
      </c>
      <c r="F1664" s="475" t="s">
        <v>446</v>
      </c>
      <c r="G1664" s="476">
        <v>12</v>
      </c>
      <c r="H1664" s="475" t="s">
        <v>1231</v>
      </c>
      <c r="I1664" s="487" t="s">
        <v>1232</v>
      </c>
      <c r="J1664" s="509">
        <v>718.75</v>
      </c>
    </row>
    <row r="1665" spans="1:10" ht="20.25" customHeight="1">
      <c r="A1665" s="471">
        <v>5111</v>
      </c>
      <c r="B1665" s="474" t="s">
        <v>1217</v>
      </c>
      <c r="C1665" s="473">
        <v>321</v>
      </c>
      <c r="D1665" s="478">
        <v>15</v>
      </c>
      <c r="E1665" s="474">
        <v>38867</v>
      </c>
      <c r="F1665" s="475" t="s">
        <v>446</v>
      </c>
      <c r="G1665" s="476">
        <v>12</v>
      </c>
      <c r="H1665" s="475" t="s">
        <v>1231</v>
      </c>
      <c r="I1665" s="487" t="s">
        <v>1232</v>
      </c>
      <c r="J1665" s="509">
        <v>718.75</v>
      </c>
    </row>
    <row r="1666" spans="1:10" ht="20.25" customHeight="1">
      <c r="A1666" s="471">
        <v>5111</v>
      </c>
      <c r="B1666" s="474" t="s">
        <v>1217</v>
      </c>
      <c r="C1666" s="473">
        <v>322</v>
      </c>
      <c r="D1666" s="478">
        <v>15</v>
      </c>
      <c r="E1666" s="474">
        <v>38867</v>
      </c>
      <c r="F1666" s="475" t="s">
        <v>446</v>
      </c>
      <c r="G1666" s="476">
        <v>12</v>
      </c>
      <c r="H1666" s="475" t="s">
        <v>1231</v>
      </c>
      <c r="I1666" s="487" t="s">
        <v>1232</v>
      </c>
      <c r="J1666" s="509">
        <v>718.75</v>
      </c>
    </row>
    <row r="1667" spans="1:10" ht="20.25" customHeight="1">
      <c r="A1667" s="471">
        <v>5111</v>
      </c>
      <c r="B1667" s="474" t="s">
        <v>1217</v>
      </c>
      <c r="C1667" s="473">
        <v>323</v>
      </c>
      <c r="D1667" s="478">
        <v>15</v>
      </c>
      <c r="E1667" s="474">
        <v>38867</v>
      </c>
      <c r="F1667" s="475" t="s">
        <v>446</v>
      </c>
      <c r="G1667" s="476">
        <v>12</v>
      </c>
      <c r="H1667" s="475" t="s">
        <v>1231</v>
      </c>
      <c r="I1667" s="487" t="s">
        <v>1232</v>
      </c>
      <c r="J1667" s="509">
        <v>718.75</v>
      </c>
    </row>
    <row r="1668" spans="1:10" ht="20.25" customHeight="1">
      <c r="A1668" s="471">
        <v>5111</v>
      </c>
      <c r="B1668" s="474" t="s">
        <v>1217</v>
      </c>
      <c r="C1668" s="473">
        <v>324</v>
      </c>
      <c r="D1668" s="478">
        <v>15</v>
      </c>
      <c r="E1668" s="474">
        <v>38867</v>
      </c>
      <c r="F1668" s="475" t="s">
        <v>446</v>
      </c>
      <c r="G1668" s="476">
        <v>12</v>
      </c>
      <c r="H1668" s="475" t="s">
        <v>1231</v>
      </c>
      <c r="I1668" s="487" t="s">
        <v>1232</v>
      </c>
      <c r="J1668" s="509">
        <v>718.75</v>
      </c>
    </row>
    <row r="1669" spans="1:10" ht="20.25" customHeight="1">
      <c r="A1669" s="471">
        <v>5111</v>
      </c>
      <c r="B1669" s="474" t="s">
        <v>1217</v>
      </c>
      <c r="C1669" s="473">
        <v>325</v>
      </c>
      <c r="D1669" s="478">
        <v>15</v>
      </c>
      <c r="E1669" s="474">
        <v>38867</v>
      </c>
      <c r="F1669" s="475" t="s">
        <v>446</v>
      </c>
      <c r="G1669" s="476">
        <v>12</v>
      </c>
      <c r="H1669" s="475" t="s">
        <v>1231</v>
      </c>
      <c r="I1669" s="487" t="s">
        <v>1232</v>
      </c>
      <c r="J1669" s="509">
        <v>718.75</v>
      </c>
    </row>
    <row r="1670" spans="1:10" ht="20.25" customHeight="1">
      <c r="A1670" s="471">
        <v>5111</v>
      </c>
      <c r="B1670" s="474" t="s">
        <v>1217</v>
      </c>
      <c r="C1670" s="473">
        <v>326</v>
      </c>
      <c r="D1670" s="478">
        <v>15</v>
      </c>
      <c r="E1670" s="474">
        <v>38867</v>
      </c>
      <c r="F1670" s="475" t="s">
        <v>446</v>
      </c>
      <c r="G1670" s="476">
        <v>12</v>
      </c>
      <c r="H1670" s="475" t="s">
        <v>1231</v>
      </c>
      <c r="I1670" s="487" t="s">
        <v>1232</v>
      </c>
      <c r="J1670" s="509">
        <v>718.75</v>
      </c>
    </row>
    <row r="1671" spans="1:10" ht="20.25" customHeight="1">
      <c r="A1671" s="471">
        <v>5111</v>
      </c>
      <c r="B1671" s="474" t="s">
        <v>1217</v>
      </c>
      <c r="C1671" s="473">
        <v>327</v>
      </c>
      <c r="D1671" s="478">
        <v>15</v>
      </c>
      <c r="E1671" s="474">
        <v>38867</v>
      </c>
      <c r="F1671" s="475" t="s">
        <v>446</v>
      </c>
      <c r="G1671" s="476">
        <v>12</v>
      </c>
      <c r="H1671" s="475" t="s">
        <v>1231</v>
      </c>
      <c r="I1671" s="487" t="s">
        <v>1232</v>
      </c>
      <c r="J1671" s="509">
        <v>718.75</v>
      </c>
    </row>
    <row r="1672" spans="1:10" ht="20.25" customHeight="1">
      <c r="A1672" s="471">
        <v>5111</v>
      </c>
      <c r="B1672" s="474" t="s">
        <v>1217</v>
      </c>
      <c r="C1672" s="473">
        <v>328</v>
      </c>
      <c r="D1672" s="478">
        <v>15</v>
      </c>
      <c r="E1672" s="474">
        <v>38867</v>
      </c>
      <c r="F1672" s="475" t="s">
        <v>446</v>
      </c>
      <c r="G1672" s="476">
        <v>12</v>
      </c>
      <c r="H1672" s="475" t="s">
        <v>1231</v>
      </c>
      <c r="I1672" s="487" t="s">
        <v>1232</v>
      </c>
      <c r="J1672" s="509">
        <v>718.75</v>
      </c>
    </row>
    <row r="1673" spans="1:10" ht="20.25" customHeight="1">
      <c r="A1673" s="471">
        <v>5111</v>
      </c>
      <c r="B1673" s="474" t="s">
        <v>1217</v>
      </c>
      <c r="C1673" s="473">
        <v>329</v>
      </c>
      <c r="D1673" s="478">
        <v>15</v>
      </c>
      <c r="E1673" s="474">
        <v>38867</v>
      </c>
      <c r="F1673" s="475" t="s">
        <v>446</v>
      </c>
      <c r="G1673" s="476">
        <v>12</v>
      </c>
      <c r="H1673" s="475" t="s">
        <v>1231</v>
      </c>
      <c r="I1673" s="487" t="s">
        <v>1232</v>
      </c>
      <c r="J1673" s="509">
        <v>718.75</v>
      </c>
    </row>
    <row r="1674" spans="1:10" ht="20.25" customHeight="1">
      <c r="A1674" s="471">
        <v>5111</v>
      </c>
      <c r="B1674" s="474" t="s">
        <v>1217</v>
      </c>
      <c r="C1674" s="473">
        <v>330</v>
      </c>
      <c r="D1674" s="478">
        <v>15</v>
      </c>
      <c r="E1674" s="474">
        <v>38867</v>
      </c>
      <c r="F1674" s="475" t="s">
        <v>446</v>
      </c>
      <c r="G1674" s="476">
        <v>12</v>
      </c>
      <c r="H1674" s="475" t="s">
        <v>1231</v>
      </c>
      <c r="I1674" s="487" t="s">
        <v>1232</v>
      </c>
      <c r="J1674" s="509">
        <v>718.75</v>
      </c>
    </row>
    <row r="1675" spans="1:10" ht="20.25" customHeight="1">
      <c r="A1675" s="471">
        <v>5111</v>
      </c>
      <c r="B1675" s="474" t="s">
        <v>1217</v>
      </c>
      <c r="C1675" s="473">
        <v>331</v>
      </c>
      <c r="D1675" s="478">
        <v>15</v>
      </c>
      <c r="E1675" s="474">
        <v>38867</v>
      </c>
      <c r="F1675" s="475" t="s">
        <v>446</v>
      </c>
      <c r="G1675" s="476">
        <v>12</v>
      </c>
      <c r="H1675" s="475" t="s">
        <v>1231</v>
      </c>
      <c r="I1675" s="487" t="s">
        <v>1232</v>
      </c>
      <c r="J1675" s="509">
        <v>718.75</v>
      </c>
    </row>
    <row r="1676" spans="1:10" ht="20.25" customHeight="1">
      <c r="A1676" s="471">
        <v>5111</v>
      </c>
      <c r="B1676" s="474" t="s">
        <v>1217</v>
      </c>
      <c r="C1676" s="473">
        <v>332</v>
      </c>
      <c r="D1676" s="478">
        <v>15</v>
      </c>
      <c r="E1676" s="474">
        <v>38867</v>
      </c>
      <c r="F1676" s="475" t="s">
        <v>446</v>
      </c>
      <c r="G1676" s="476">
        <v>12</v>
      </c>
      <c r="H1676" s="475" t="s">
        <v>1231</v>
      </c>
      <c r="I1676" s="487" t="s">
        <v>1232</v>
      </c>
      <c r="J1676" s="509">
        <v>718.75</v>
      </c>
    </row>
    <row r="1677" spans="1:10" ht="20.25" customHeight="1">
      <c r="A1677" s="471">
        <v>5111</v>
      </c>
      <c r="B1677" s="474" t="s">
        <v>1217</v>
      </c>
      <c r="C1677" s="473">
        <v>333</v>
      </c>
      <c r="D1677" s="478">
        <v>15</v>
      </c>
      <c r="E1677" s="474">
        <v>38867</v>
      </c>
      <c r="F1677" s="475" t="s">
        <v>446</v>
      </c>
      <c r="G1677" s="476">
        <v>12</v>
      </c>
      <c r="H1677" s="475" t="s">
        <v>1231</v>
      </c>
      <c r="I1677" s="487" t="s">
        <v>1232</v>
      </c>
      <c r="J1677" s="509">
        <v>718.75</v>
      </c>
    </row>
    <row r="1678" spans="1:10" ht="20.25" customHeight="1">
      <c r="A1678" s="471">
        <v>5111</v>
      </c>
      <c r="B1678" s="474" t="s">
        <v>1217</v>
      </c>
      <c r="C1678" s="473">
        <v>334</v>
      </c>
      <c r="D1678" s="478">
        <v>15</v>
      </c>
      <c r="E1678" s="474">
        <v>38867</v>
      </c>
      <c r="F1678" s="475" t="s">
        <v>446</v>
      </c>
      <c r="G1678" s="476">
        <v>12</v>
      </c>
      <c r="H1678" s="475" t="s">
        <v>1231</v>
      </c>
      <c r="I1678" s="487" t="s">
        <v>1232</v>
      </c>
      <c r="J1678" s="509">
        <v>718.75</v>
      </c>
    </row>
    <row r="1679" spans="1:10" ht="20.25" customHeight="1">
      <c r="A1679" s="471">
        <v>5111</v>
      </c>
      <c r="B1679" s="474" t="s">
        <v>1217</v>
      </c>
      <c r="C1679" s="473">
        <v>335</v>
      </c>
      <c r="D1679" s="478">
        <v>15</v>
      </c>
      <c r="E1679" s="474">
        <v>38867</v>
      </c>
      <c r="F1679" s="475" t="s">
        <v>446</v>
      </c>
      <c r="G1679" s="476">
        <v>12</v>
      </c>
      <c r="H1679" s="475" t="s">
        <v>1231</v>
      </c>
      <c r="I1679" s="487" t="s">
        <v>1232</v>
      </c>
      <c r="J1679" s="509">
        <v>718.75</v>
      </c>
    </row>
    <row r="1680" spans="1:10" ht="20.25" customHeight="1">
      <c r="A1680" s="471">
        <v>5111</v>
      </c>
      <c r="B1680" s="474" t="s">
        <v>1217</v>
      </c>
      <c r="C1680" s="473">
        <v>336</v>
      </c>
      <c r="D1680" s="478">
        <v>15</v>
      </c>
      <c r="E1680" s="474">
        <v>38867</v>
      </c>
      <c r="F1680" s="475" t="s">
        <v>446</v>
      </c>
      <c r="G1680" s="476">
        <v>12</v>
      </c>
      <c r="H1680" s="475" t="s">
        <v>1231</v>
      </c>
      <c r="I1680" s="487" t="s">
        <v>1232</v>
      </c>
      <c r="J1680" s="509">
        <v>718.75</v>
      </c>
    </row>
    <row r="1681" spans="1:10" ht="20.25" customHeight="1">
      <c r="A1681" s="471">
        <v>5111</v>
      </c>
      <c r="B1681" s="474" t="s">
        <v>1217</v>
      </c>
      <c r="C1681" s="473">
        <v>337</v>
      </c>
      <c r="D1681" s="478">
        <v>15</v>
      </c>
      <c r="E1681" s="474">
        <v>38867</v>
      </c>
      <c r="F1681" s="475" t="s">
        <v>446</v>
      </c>
      <c r="G1681" s="476">
        <v>12</v>
      </c>
      <c r="H1681" s="475" t="s">
        <v>1231</v>
      </c>
      <c r="I1681" s="487" t="s">
        <v>1232</v>
      </c>
      <c r="J1681" s="509">
        <v>718.75</v>
      </c>
    </row>
    <row r="1682" spans="1:10" ht="20.25" customHeight="1">
      <c r="A1682" s="471">
        <v>5111</v>
      </c>
      <c r="B1682" s="474" t="s">
        <v>1217</v>
      </c>
      <c r="C1682" s="473">
        <v>338</v>
      </c>
      <c r="D1682" s="478">
        <v>15</v>
      </c>
      <c r="E1682" s="474">
        <v>38867</v>
      </c>
      <c r="F1682" s="475" t="s">
        <v>446</v>
      </c>
      <c r="G1682" s="476">
        <v>12</v>
      </c>
      <c r="H1682" s="475" t="s">
        <v>1231</v>
      </c>
      <c r="I1682" s="487" t="s">
        <v>1232</v>
      </c>
      <c r="J1682" s="509">
        <v>718.75</v>
      </c>
    </row>
    <row r="1683" spans="1:10" ht="20.25" customHeight="1">
      <c r="A1683" s="471">
        <v>5111</v>
      </c>
      <c r="B1683" s="474" t="s">
        <v>1217</v>
      </c>
      <c r="C1683" s="473">
        <v>339</v>
      </c>
      <c r="D1683" s="478">
        <v>15</v>
      </c>
      <c r="E1683" s="474">
        <v>38867</v>
      </c>
      <c r="F1683" s="475" t="s">
        <v>446</v>
      </c>
      <c r="G1683" s="476">
        <v>12</v>
      </c>
      <c r="H1683" s="475" t="s">
        <v>1231</v>
      </c>
      <c r="I1683" s="487" t="s">
        <v>1232</v>
      </c>
      <c r="J1683" s="509">
        <v>718.75</v>
      </c>
    </row>
    <row r="1684" spans="1:10" ht="20.25" customHeight="1">
      <c r="A1684" s="471">
        <v>5111</v>
      </c>
      <c r="B1684" s="474" t="s">
        <v>1217</v>
      </c>
      <c r="C1684" s="473">
        <v>340</v>
      </c>
      <c r="D1684" s="478">
        <v>15</v>
      </c>
      <c r="E1684" s="474">
        <v>38867</v>
      </c>
      <c r="F1684" s="475" t="s">
        <v>446</v>
      </c>
      <c r="G1684" s="476">
        <v>12</v>
      </c>
      <c r="H1684" s="475" t="s">
        <v>1231</v>
      </c>
      <c r="I1684" s="487" t="s">
        <v>1232</v>
      </c>
      <c r="J1684" s="509">
        <v>718.75</v>
      </c>
    </row>
    <row r="1685" spans="1:10" ht="20.25" customHeight="1">
      <c r="A1685" s="471">
        <v>5111</v>
      </c>
      <c r="B1685" s="474" t="s">
        <v>1217</v>
      </c>
      <c r="C1685" s="473">
        <v>341</v>
      </c>
      <c r="D1685" s="478">
        <v>15</v>
      </c>
      <c r="E1685" s="474">
        <v>38867</v>
      </c>
      <c r="F1685" s="475" t="s">
        <v>446</v>
      </c>
      <c r="G1685" s="476">
        <v>12</v>
      </c>
      <c r="H1685" s="475" t="s">
        <v>1231</v>
      </c>
      <c r="I1685" s="487" t="s">
        <v>1232</v>
      </c>
      <c r="J1685" s="509">
        <v>718.75</v>
      </c>
    </row>
    <row r="1686" spans="1:10" ht="20.25" customHeight="1">
      <c r="A1686" s="471">
        <v>5111</v>
      </c>
      <c r="B1686" s="474" t="s">
        <v>1217</v>
      </c>
      <c r="C1686" s="473">
        <v>342</v>
      </c>
      <c r="D1686" s="478">
        <v>15</v>
      </c>
      <c r="E1686" s="474">
        <v>38867</v>
      </c>
      <c r="F1686" s="475" t="s">
        <v>446</v>
      </c>
      <c r="G1686" s="476">
        <v>12</v>
      </c>
      <c r="H1686" s="475" t="s">
        <v>1231</v>
      </c>
      <c r="I1686" s="487" t="s">
        <v>1232</v>
      </c>
      <c r="J1686" s="509">
        <v>718.75</v>
      </c>
    </row>
    <row r="1687" spans="1:10" ht="20.25" customHeight="1">
      <c r="A1687" s="471">
        <v>5111</v>
      </c>
      <c r="B1687" s="474" t="s">
        <v>1217</v>
      </c>
      <c r="C1687" s="473">
        <v>343</v>
      </c>
      <c r="D1687" s="478">
        <v>15</v>
      </c>
      <c r="E1687" s="474">
        <v>38867</v>
      </c>
      <c r="F1687" s="475" t="s">
        <v>446</v>
      </c>
      <c r="G1687" s="476">
        <v>12</v>
      </c>
      <c r="H1687" s="475" t="s">
        <v>1231</v>
      </c>
      <c r="I1687" s="487" t="s">
        <v>1232</v>
      </c>
      <c r="J1687" s="509">
        <v>718.75</v>
      </c>
    </row>
    <row r="1688" spans="1:10" ht="20.25" customHeight="1">
      <c r="A1688" s="471">
        <v>5111</v>
      </c>
      <c r="B1688" s="474" t="s">
        <v>1217</v>
      </c>
      <c r="C1688" s="473">
        <v>344</v>
      </c>
      <c r="D1688" s="478">
        <v>15</v>
      </c>
      <c r="E1688" s="474">
        <v>38867</v>
      </c>
      <c r="F1688" s="475" t="s">
        <v>446</v>
      </c>
      <c r="G1688" s="476">
        <v>12</v>
      </c>
      <c r="H1688" s="475" t="s">
        <v>1231</v>
      </c>
      <c r="I1688" s="487" t="s">
        <v>1232</v>
      </c>
      <c r="J1688" s="509">
        <v>718.75</v>
      </c>
    </row>
    <row r="1689" spans="1:10" ht="20.25" customHeight="1">
      <c r="A1689" s="471">
        <v>5111</v>
      </c>
      <c r="B1689" s="474" t="s">
        <v>1217</v>
      </c>
      <c r="C1689" s="473">
        <v>345</v>
      </c>
      <c r="D1689" s="478">
        <v>15</v>
      </c>
      <c r="E1689" s="474">
        <v>38867</v>
      </c>
      <c r="F1689" s="475" t="s">
        <v>446</v>
      </c>
      <c r="G1689" s="476">
        <v>12</v>
      </c>
      <c r="H1689" s="475" t="s">
        <v>1231</v>
      </c>
      <c r="I1689" s="487" t="s">
        <v>1232</v>
      </c>
      <c r="J1689" s="509">
        <v>718.75</v>
      </c>
    </row>
    <row r="1690" spans="1:10" ht="20.25" customHeight="1">
      <c r="A1690" s="471">
        <v>5111</v>
      </c>
      <c r="B1690" s="474" t="s">
        <v>1217</v>
      </c>
      <c r="C1690" s="473">
        <v>346</v>
      </c>
      <c r="D1690" s="478">
        <v>15</v>
      </c>
      <c r="E1690" s="474">
        <v>38867</v>
      </c>
      <c r="F1690" s="475" t="s">
        <v>446</v>
      </c>
      <c r="G1690" s="476">
        <v>12</v>
      </c>
      <c r="H1690" s="475" t="s">
        <v>1231</v>
      </c>
      <c r="I1690" s="487" t="s">
        <v>1232</v>
      </c>
      <c r="J1690" s="509">
        <v>718.75</v>
      </c>
    </row>
    <row r="1691" spans="1:10" ht="20.25" customHeight="1">
      <c r="A1691" s="471">
        <v>5111</v>
      </c>
      <c r="B1691" s="474" t="s">
        <v>1217</v>
      </c>
      <c r="C1691" s="473">
        <v>347</v>
      </c>
      <c r="D1691" s="478">
        <v>15</v>
      </c>
      <c r="E1691" s="474">
        <v>38867</v>
      </c>
      <c r="F1691" s="475" t="s">
        <v>446</v>
      </c>
      <c r="G1691" s="476">
        <v>12</v>
      </c>
      <c r="H1691" s="475" t="s">
        <v>1231</v>
      </c>
      <c r="I1691" s="487" t="s">
        <v>1232</v>
      </c>
      <c r="J1691" s="509">
        <v>718.75</v>
      </c>
    </row>
    <row r="1692" spans="1:10" ht="20.25" customHeight="1">
      <c r="A1692" s="471">
        <v>5111</v>
      </c>
      <c r="B1692" s="474" t="s">
        <v>1217</v>
      </c>
      <c r="C1692" s="473">
        <v>348</v>
      </c>
      <c r="D1692" s="478">
        <v>15</v>
      </c>
      <c r="E1692" s="474">
        <v>38867</v>
      </c>
      <c r="F1692" s="475" t="s">
        <v>446</v>
      </c>
      <c r="G1692" s="476">
        <v>12</v>
      </c>
      <c r="H1692" s="475" t="s">
        <v>1231</v>
      </c>
      <c r="I1692" s="487" t="s">
        <v>1232</v>
      </c>
      <c r="J1692" s="509">
        <v>718.75</v>
      </c>
    </row>
    <row r="1693" spans="1:10" ht="20.25" customHeight="1">
      <c r="A1693" s="471">
        <v>5111</v>
      </c>
      <c r="B1693" s="474" t="s">
        <v>1217</v>
      </c>
      <c r="C1693" s="473">
        <v>349</v>
      </c>
      <c r="D1693" s="478">
        <v>15</v>
      </c>
      <c r="E1693" s="474">
        <v>38867</v>
      </c>
      <c r="F1693" s="475" t="s">
        <v>446</v>
      </c>
      <c r="G1693" s="476">
        <v>12</v>
      </c>
      <c r="H1693" s="475" t="s">
        <v>1231</v>
      </c>
      <c r="I1693" s="487" t="s">
        <v>1232</v>
      </c>
      <c r="J1693" s="509">
        <v>718.75</v>
      </c>
    </row>
    <row r="1694" spans="1:10" ht="20.25" customHeight="1">
      <c r="A1694" s="471">
        <v>5111</v>
      </c>
      <c r="B1694" s="474" t="s">
        <v>1217</v>
      </c>
      <c r="C1694" s="473">
        <v>350</v>
      </c>
      <c r="D1694" s="478">
        <v>15</v>
      </c>
      <c r="E1694" s="474">
        <v>38867</v>
      </c>
      <c r="F1694" s="475" t="s">
        <v>446</v>
      </c>
      <c r="G1694" s="476">
        <v>12</v>
      </c>
      <c r="H1694" s="475" t="s">
        <v>1231</v>
      </c>
      <c r="I1694" s="487" t="s">
        <v>1232</v>
      </c>
      <c r="J1694" s="509">
        <v>718.75</v>
      </c>
    </row>
    <row r="1695" spans="1:10" ht="20.25" customHeight="1">
      <c r="A1695" s="471">
        <v>5111</v>
      </c>
      <c r="B1695" s="474" t="s">
        <v>1217</v>
      </c>
      <c r="C1695" s="473">
        <v>351</v>
      </c>
      <c r="D1695" s="478">
        <v>15</v>
      </c>
      <c r="E1695" s="474">
        <v>38867</v>
      </c>
      <c r="F1695" s="475" t="s">
        <v>446</v>
      </c>
      <c r="G1695" s="476">
        <v>12</v>
      </c>
      <c r="H1695" s="475" t="s">
        <v>1231</v>
      </c>
      <c r="I1695" s="487" t="s">
        <v>1232</v>
      </c>
      <c r="J1695" s="509">
        <v>718.75</v>
      </c>
    </row>
    <row r="1696" spans="1:10" ht="20.25" customHeight="1">
      <c r="A1696" s="471">
        <v>5111</v>
      </c>
      <c r="B1696" s="474" t="s">
        <v>1217</v>
      </c>
      <c r="C1696" s="473">
        <v>352</v>
      </c>
      <c r="D1696" s="478">
        <v>15</v>
      </c>
      <c r="E1696" s="474">
        <v>38867</v>
      </c>
      <c r="F1696" s="475" t="s">
        <v>446</v>
      </c>
      <c r="G1696" s="476">
        <v>12</v>
      </c>
      <c r="H1696" s="475" t="s">
        <v>1231</v>
      </c>
      <c r="I1696" s="487" t="s">
        <v>1232</v>
      </c>
      <c r="J1696" s="509">
        <v>718.75</v>
      </c>
    </row>
    <row r="1697" spans="1:10" ht="20.25" customHeight="1">
      <c r="A1697" s="471">
        <v>5111</v>
      </c>
      <c r="B1697" s="474" t="s">
        <v>1217</v>
      </c>
      <c r="C1697" s="473">
        <v>353</v>
      </c>
      <c r="D1697" s="478">
        <v>15</v>
      </c>
      <c r="E1697" s="474">
        <v>38867</v>
      </c>
      <c r="F1697" s="475" t="s">
        <v>446</v>
      </c>
      <c r="G1697" s="476">
        <v>12</v>
      </c>
      <c r="H1697" s="475" t="s">
        <v>1231</v>
      </c>
      <c r="I1697" s="487" t="s">
        <v>1232</v>
      </c>
      <c r="J1697" s="509">
        <v>718.75</v>
      </c>
    </row>
    <row r="1698" spans="1:10" ht="20.25" customHeight="1">
      <c r="A1698" s="471">
        <v>5111</v>
      </c>
      <c r="B1698" s="474" t="s">
        <v>1217</v>
      </c>
      <c r="C1698" s="473">
        <v>354</v>
      </c>
      <c r="D1698" s="478">
        <v>15</v>
      </c>
      <c r="E1698" s="474">
        <v>38867</v>
      </c>
      <c r="F1698" s="475" t="s">
        <v>446</v>
      </c>
      <c r="G1698" s="476">
        <v>12</v>
      </c>
      <c r="H1698" s="475" t="s">
        <v>1231</v>
      </c>
      <c r="I1698" s="487" t="s">
        <v>1232</v>
      </c>
      <c r="J1698" s="509">
        <v>718.75</v>
      </c>
    </row>
    <row r="1699" spans="1:10" ht="20.25" customHeight="1">
      <c r="A1699" s="471">
        <v>5111</v>
      </c>
      <c r="B1699" s="474" t="s">
        <v>1217</v>
      </c>
      <c r="C1699" s="473">
        <v>355</v>
      </c>
      <c r="D1699" s="478">
        <v>15</v>
      </c>
      <c r="E1699" s="474">
        <v>38867</v>
      </c>
      <c r="F1699" s="475" t="s">
        <v>446</v>
      </c>
      <c r="G1699" s="476">
        <v>12</v>
      </c>
      <c r="H1699" s="475" t="s">
        <v>1231</v>
      </c>
      <c r="I1699" s="487" t="s">
        <v>1232</v>
      </c>
      <c r="J1699" s="509">
        <v>718.75</v>
      </c>
    </row>
    <row r="1700" spans="1:10" ht="20.25" customHeight="1">
      <c r="A1700" s="471">
        <v>5111</v>
      </c>
      <c r="B1700" s="474" t="s">
        <v>1217</v>
      </c>
      <c r="C1700" s="473">
        <v>356</v>
      </c>
      <c r="D1700" s="478">
        <v>15</v>
      </c>
      <c r="E1700" s="474">
        <v>38867</v>
      </c>
      <c r="F1700" s="475" t="s">
        <v>446</v>
      </c>
      <c r="G1700" s="476">
        <v>12</v>
      </c>
      <c r="H1700" s="475" t="s">
        <v>1231</v>
      </c>
      <c r="I1700" s="487" t="s">
        <v>1232</v>
      </c>
      <c r="J1700" s="509">
        <v>718.75</v>
      </c>
    </row>
    <row r="1701" spans="1:10" ht="20.25" customHeight="1">
      <c r="A1701" s="471">
        <v>5111</v>
      </c>
      <c r="B1701" s="474" t="s">
        <v>1217</v>
      </c>
      <c r="C1701" s="473">
        <v>357</v>
      </c>
      <c r="D1701" s="478">
        <v>15</v>
      </c>
      <c r="E1701" s="474">
        <v>38867</v>
      </c>
      <c r="F1701" s="475" t="s">
        <v>446</v>
      </c>
      <c r="G1701" s="476">
        <v>12</v>
      </c>
      <c r="H1701" s="475" t="s">
        <v>1231</v>
      </c>
      <c r="I1701" s="487" t="s">
        <v>1232</v>
      </c>
      <c r="J1701" s="509">
        <v>718.75</v>
      </c>
    </row>
    <row r="1702" spans="1:10" ht="20.25" customHeight="1">
      <c r="A1702" s="471">
        <v>5111</v>
      </c>
      <c r="B1702" s="474" t="s">
        <v>1217</v>
      </c>
      <c r="C1702" s="473">
        <v>358</v>
      </c>
      <c r="D1702" s="478">
        <v>15</v>
      </c>
      <c r="E1702" s="474">
        <v>38867</v>
      </c>
      <c r="F1702" s="475" t="s">
        <v>446</v>
      </c>
      <c r="G1702" s="476">
        <v>12</v>
      </c>
      <c r="H1702" s="475" t="s">
        <v>1231</v>
      </c>
      <c r="I1702" s="487" t="s">
        <v>1232</v>
      </c>
      <c r="J1702" s="509">
        <v>718.75</v>
      </c>
    </row>
    <row r="1703" spans="1:10" ht="20.25" customHeight="1">
      <c r="A1703" s="471">
        <v>5111</v>
      </c>
      <c r="B1703" s="474" t="s">
        <v>1217</v>
      </c>
      <c r="C1703" s="473">
        <v>359</v>
      </c>
      <c r="D1703" s="478">
        <v>15</v>
      </c>
      <c r="E1703" s="474">
        <v>38867</v>
      </c>
      <c r="F1703" s="475" t="s">
        <v>446</v>
      </c>
      <c r="G1703" s="476">
        <v>12</v>
      </c>
      <c r="H1703" s="475" t="s">
        <v>1231</v>
      </c>
      <c r="I1703" s="487" t="s">
        <v>1232</v>
      </c>
      <c r="J1703" s="509">
        <v>718.75</v>
      </c>
    </row>
    <row r="1704" spans="1:10" ht="20.25" customHeight="1">
      <c r="A1704" s="471">
        <v>5111</v>
      </c>
      <c r="B1704" s="474" t="s">
        <v>1217</v>
      </c>
      <c r="C1704" s="473">
        <v>360</v>
      </c>
      <c r="D1704" s="478">
        <v>15</v>
      </c>
      <c r="E1704" s="474">
        <v>38867</v>
      </c>
      <c r="F1704" s="475" t="s">
        <v>446</v>
      </c>
      <c r="G1704" s="476">
        <v>12</v>
      </c>
      <c r="H1704" s="475" t="s">
        <v>1231</v>
      </c>
      <c r="I1704" s="487" t="s">
        <v>1232</v>
      </c>
      <c r="J1704" s="509">
        <v>718.75</v>
      </c>
    </row>
    <row r="1705" spans="1:10" ht="20.25" customHeight="1">
      <c r="A1705" s="471">
        <v>5111</v>
      </c>
      <c r="B1705" s="474" t="s">
        <v>1217</v>
      </c>
      <c r="C1705" s="473">
        <v>361</v>
      </c>
      <c r="D1705" s="478">
        <v>15</v>
      </c>
      <c r="E1705" s="474">
        <v>38867</v>
      </c>
      <c r="F1705" s="475" t="s">
        <v>446</v>
      </c>
      <c r="G1705" s="476">
        <v>12</v>
      </c>
      <c r="H1705" s="475" t="s">
        <v>1231</v>
      </c>
      <c r="I1705" s="487" t="s">
        <v>1232</v>
      </c>
      <c r="J1705" s="509">
        <v>718.75</v>
      </c>
    </row>
    <row r="1706" spans="1:10" ht="20.25" customHeight="1">
      <c r="A1706" s="471">
        <v>5111</v>
      </c>
      <c r="B1706" s="474" t="s">
        <v>1217</v>
      </c>
      <c r="C1706" s="473">
        <v>362</v>
      </c>
      <c r="D1706" s="478">
        <v>15</v>
      </c>
      <c r="E1706" s="474">
        <v>38867</v>
      </c>
      <c r="F1706" s="475" t="s">
        <v>446</v>
      </c>
      <c r="G1706" s="476">
        <v>12</v>
      </c>
      <c r="H1706" s="475" t="s">
        <v>1231</v>
      </c>
      <c r="I1706" s="487" t="s">
        <v>1232</v>
      </c>
      <c r="J1706" s="509">
        <v>718.75</v>
      </c>
    </row>
    <row r="1707" spans="1:10" ht="20.25" customHeight="1">
      <c r="A1707" s="471">
        <v>5111</v>
      </c>
      <c r="B1707" s="474" t="s">
        <v>1217</v>
      </c>
      <c r="C1707" s="473">
        <v>363</v>
      </c>
      <c r="D1707" s="478">
        <v>15</v>
      </c>
      <c r="E1707" s="474">
        <v>38867</v>
      </c>
      <c r="F1707" s="475" t="s">
        <v>446</v>
      </c>
      <c r="G1707" s="476">
        <v>12</v>
      </c>
      <c r="H1707" s="475" t="s">
        <v>1231</v>
      </c>
      <c r="I1707" s="487" t="s">
        <v>1232</v>
      </c>
      <c r="J1707" s="509">
        <v>718.75</v>
      </c>
    </row>
    <row r="1708" spans="1:10" ht="20.25" customHeight="1">
      <c r="A1708" s="471">
        <v>5111</v>
      </c>
      <c r="B1708" s="474" t="s">
        <v>1217</v>
      </c>
      <c r="C1708" s="473">
        <v>364</v>
      </c>
      <c r="D1708" s="478">
        <v>15</v>
      </c>
      <c r="E1708" s="474">
        <v>38867</v>
      </c>
      <c r="F1708" s="475" t="s">
        <v>446</v>
      </c>
      <c r="G1708" s="476">
        <v>12</v>
      </c>
      <c r="H1708" s="475" t="s">
        <v>1231</v>
      </c>
      <c r="I1708" s="487" t="s">
        <v>1232</v>
      </c>
      <c r="J1708" s="509">
        <v>718.75</v>
      </c>
    </row>
    <row r="1709" spans="1:10" ht="20.25" customHeight="1">
      <c r="A1709" s="471">
        <v>5111</v>
      </c>
      <c r="B1709" s="474" t="s">
        <v>1217</v>
      </c>
      <c r="C1709" s="473">
        <v>365</v>
      </c>
      <c r="D1709" s="478">
        <v>15</v>
      </c>
      <c r="E1709" s="474">
        <v>38867</v>
      </c>
      <c r="F1709" s="475" t="s">
        <v>446</v>
      </c>
      <c r="G1709" s="476">
        <v>12</v>
      </c>
      <c r="H1709" s="475" t="s">
        <v>1231</v>
      </c>
      <c r="I1709" s="487" t="s">
        <v>1232</v>
      </c>
      <c r="J1709" s="509">
        <v>718.75</v>
      </c>
    </row>
    <row r="1710" spans="1:10" ht="20.25" customHeight="1">
      <c r="A1710" s="471">
        <v>5111</v>
      </c>
      <c r="B1710" s="474" t="s">
        <v>1217</v>
      </c>
      <c r="C1710" s="473">
        <v>366</v>
      </c>
      <c r="D1710" s="478">
        <v>15</v>
      </c>
      <c r="E1710" s="474">
        <v>38867</v>
      </c>
      <c r="F1710" s="475" t="s">
        <v>446</v>
      </c>
      <c r="G1710" s="476">
        <v>12</v>
      </c>
      <c r="H1710" s="475" t="s">
        <v>1231</v>
      </c>
      <c r="I1710" s="487" t="s">
        <v>1232</v>
      </c>
      <c r="J1710" s="509">
        <v>718.75</v>
      </c>
    </row>
    <row r="1711" spans="1:10" ht="20.25" customHeight="1">
      <c r="A1711" s="471">
        <v>5111</v>
      </c>
      <c r="B1711" s="474" t="s">
        <v>1217</v>
      </c>
      <c r="C1711" s="473">
        <v>367</v>
      </c>
      <c r="D1711" s="478">
        <v>15</v>
      </c>
      <c r="E1711" s="474">
        <v>38867</v>
      </c>
      <c r="F1711" s="475" t="s">
        <v>446</v>
      </c>
      <c r="G1711" s="476">
        <v>12</v>
      </c>
      <c r="H1711" s="475" t="s">
        <v>1231</v>
      </c>
      <c r="I1711" s="487" t="s">
        <v>1232</v>
      </c>
      <c r="J1711" s="509">
        <v>718.75</v>
      </c>
    </row>
    <row r="1712" spans="1:10" ht="20.25" customHeight="1">
      <c r="A1712" s="471">
        <v>5111</v>
      </c>
      <c r="B1712" s="474" t="s">
        <v>1217</v>
      </c>
      <c r="C1712" s="473">
        <v>368</v>
      </c>
      <c r="D1712" s="478">
        <v>15</v>
      </c>
      <c r="E1712" s="474">
        <v>38867</v>
      </c>
      <c r="F1712" s="475" t="s">
        <v>446</v>
      </c>
      <c r="G1712" s="476">
        <v>12</v>
      </c>
      <c r="H1712" s="475" t="s">
        <v>1231</v>
      </c>
      <c r="I1712" s="487" t="s">
        <v>1232</v>
      </c>
      <c r="J1712" s="509">
        <v>718.75</v>
      </c>
    </row>
    <row r="1713" spans="1:10" ht="20.25" customHeight="1">
      <c r="A1713" s="471">
        <v>5111</v>
      </c>
      <c r="B1713" s="474" t="s">
        <v>1217</v>
      </c>
      <c r="C1713" s="473">
        <v>369</v>
      </c>
      <c r="D1713" s="478">
        <v>15</v>
      </c>
      <c r="E1713" s="474">
        <v>38867</v>
      </c>
      <c r="F1713" s="475" t="s">
        <v>446</v>
      </c>
      <c r="G1713" s="476">
        <v>12</v>
      </c>
      <c r="H1713" s="475" t="s">
        <v>1231</v>
      </c>
      <c r="I1713" s="487" t="s">
        <v>1232</v>
      </c>
      <c r="J1713" s="509">
        <v>718.75</v>
      </c>
    </row>
    <row r="1714" spans="1:10" ht="20.25" customHeight="1">
      <c r="A1714" s="471">
        <v>5111</v>
      </c>
      <c r="B1714" s="474" t="s">
        <v>1217</v>
      </c>
      <c r="C1714" s="473">
        <v>370</v>
      </c>
      <c r="D1714" s="478">
        <v>15</v>
      </c>
      <c r="E1714" s="474">
        <v>38867</v>
      </c>
      <c r="F1714" s="475" t="s">
        <v>446</v>
      </c>
      <c r="G1714" s="476">
        <v>12</v>
      </c>
      <c r="H1714" s="475" t="s">
        <v>1231</v>
      </c>
      <c r="I1714" s="487" t="s">
        <v>1232</v>
      </c>
      <c r="J1714" s="509">
        <v>718.75</v>
      </c>
    </row>
    <row r="1715" spans="1:10" ht="20.25" customHeight="1">
      <c r="A1715" s="471">
        <v>5111</v>
      </c>
      <c r="B1715" s="474" t="s">
        <v>1217</v>
      </c>
      <c r="C1715" s="473">
        <v>371</v>
      </c>
      <c r="D1715" s="478">
        <v>15</v>
      </c>
      <c r="E1715" s="474">
        <v>38867</v>
      </c>
      <c r="F1715" s="475" t="s">
        <v>446</v>
      </c>
      <c r="G1715" s="476">
        <v>12</v>
      </c>
      <c r="H1715" s="475" t="s">
        <v>1231</v>
      </c>
      <c r="I1715" s="487" t="s">
        <v>1232</v>
      </c>
      <c r="J1715" s="509">
        <v>718.75</v>
      </c>
    </row>
    <row r="1716" spans="1:10" ht="20.25" customHeight="1">
      <c r="A1716" s="471">
        <v>5111</v>
      </c>
      <c r="B1716" s="474" t="s">
        <v>1217</v>
      </c>
      <c r="C1716" s="473">
        <v>372</v>
      </c>
      <c r="D1716" s="478">
        <v>15</v>
      </c>
      <c r="E1716" s="474">
        <v>38867</v>
      </c>
      <c r="F1716" s="475" t="s">
        <v>446</v>
      </c>
      <c r="G1716" s="476">
        <v>12</v>
      </c>
      <c r="H1716" s="475" t="s">
        <v>1231</v>
      </c>
      <c r="I1716" s="487" t="s">
        <v>1232</v>
      </c>
      <c r="J1716" s="509">
        <v>718.75</v>
      </c>
    </row>
    <row r="1717" spans="1:10" ht="20.25" customHeight="1">
      <c r="A1717" s="471">
        <v>5111</v>
      </c>
      <c r="B1717" s="474" t="s">
        <v>1217</v>
      </c>
      <c r="C1717" s="473">
        <v>373</v>
      </c>
      <c r="D1717" s="478">
        <v>15</v>
      </c>
      <c r="E1717" s="474">
        <v>38867</v>
      </c>
      <c r="F1717" s="475" t="s">
        <v>446</v>
      </c>
      <c r="G1717" s="476">
        <v>12</v>
      </c>
      <c r="H1717" s="475" t="s">
        <v>1231</v>
      </c>
      <c r="I1717" s="487" t="s">
        <v>1232</v>
      </c>
      <c r="J1717" s="509">
        <v>718.75</v>
      </c>
    </row>
    <row r="1718" spans="1:10" ht="20.25" customHeight="1">
      <c r="A1718" s="471">
        <v>5111</v>
      </c>
      <c r="B1718" s="474" t="s">
        <v>1217</v>
      </c>
      <c r="C1718" s="473">
        <v>374</v>
      </c>
      <c r="D1718" s="478">
        <v>15</v>
      </c>
      <c r="E1718" s="474">
        <v>38867</v>
      </c>
      <c r="F1718" s="475" t="s">
        <v>446</v>
      </c>
      <c r="G1718" s="476">
        <v>12</v>
      </c>
      <c r="H1718" s="475" t="s">
        <v>1231</v>
      </c>
      <c r="I1718" s="487" t="s">
        <v>1232</v>
      </c>
      <c r="J1718" s="509">
        <v>718.75</v>
      </c>
    </row>
    <row r="1719" spans="1:10" ht="20.25" customHeight="1">
      <c r="A1719" s="471">
        <v>5111</v>
      </c>
      <c r="B1719" s="474" t="s">
        <v>1217</v>
      </c>
      <c r="C1719" s="473">
        <v>375</v>
      </c>
      <c r="D1719" s="478">
        <v>15</v>
      </c>
      <c r="E1719" s="474">
        <v>38867</v>
      </c>
      <c r="F1719" s="475" t="s">
        <v>446</v>
      </c>
      <c r="G1719" s="476">
        <v>12</v>
      </c>
      <c r="H1719" s="475" t="s">
        <v>1231</v>
      </c>
      <c r="I1719" s="487" t="s">
        <v>1232</v>
      </c>
      <c r="J1719" s="509">
        <v>718.75</v>
      </c>
    </row>
    <row r="1720" spans="1:10" ht="20.25" customHeight="1">
      <c r="A1720" s="471">
        <v>5111</v>
      </c>
      <c r="B1720" s="474" t="s">
        <v>1217</v>
      </c>
      <c r="C1720" s="473">
        <v>376</v>
      </c>
      <c r="D1720" s="478">
        <v>15</v>
      </c>
      <c r="E1720" s="474">
        <v>38867</v>
      </c>
      <c r="F1720" s="475" t="s">
        <v>446</v>
      </c>
      <c r="G1720" s="476">
        <v>12</v>
      </c>
      <c r="H1720" s="475" t="s">
        <v>1231</v>
      </c>
      <c r="I1720" s="487" t="s">
        <v>1232</v>
      </c>
      <c r="J1720" s="509">
        <v>718.75</v>
      </c>
    </row>
    <row r="1721" spans="1:10" ht="20.25" customHeight="1">
      <c r="A1721" s="471">
        <v>5111</v>
      </c>
      <c r="B1721" s="474" t="s">
        <v>1217</v>
      </c>
      <c r="C1721" s="473">
        <v>377</v>
      </c>
      <c r="D1721" s="478">
        <v>15</v>
      </c>
      <c r="E1721" s="474">
        <v>38867</v>
      </c>
      <c r="F1721" s="475" t="s">
        <v>446</v>
      </c>
      <c r="G1721" s="476">
        <v>12</v>
      </c>
      <c r="H1721" s="475" t="s">
        <v>1231</v>
      </c>
      <c r="I1721" s="487" t="s">
        <v>1232</v>
      </c>
      <c r="J1721" s="509">
        <v>718.75</v>
      </c>
    </row>
    <row r="1722" spans="1:10" ht="20.25" customHeight="1">
      <c r="A1722" s="471">
        <v>5111</v>
      </c>
      <c r="B1722" s="474" t="s">
        <v>1217</v>
      </c>
      <c r="C1722" s="473">
        <v>378</v>
      </c>
      <c r="D1722" s="478">
        <v>15</v>
      </c>
      <c r="E1722" s="474">
        <v>38867</v>
      </c>
      <c r="F1722" s="475" t="s">
        <v>446</v>
      </c>
      <c r="G1722" s="476">
        <v>12</v>
      </c>
      <c r="H1722" s="475" t="s">
        <v>1231</v>
      </c>
      <c r="I1722" s="487" t="s">
        <v>1232</v>
      </c>
      <c r="J1722" s="509">
        <v>718.75</v>
      </c>
    </row>
    <row r="1723" spans="1:10" ht="20.25" customHeight="1">
      <c r="A1723" s="471">
        <v>5111</v>
      </c>
      <c r="B1723" s="474" t="s">
        <v>1217</v>
      </c>
      <c r="C1723" s="473">
        <v>379</v>
      </c>
      <c r="D1723" s="478">
        <v>15</v>
      </c>
      <c r="E1723" s="474">
        <v>38867</v>
      </c>
      <c r="F1723" s="475" t="s">
        <v>446</v>
      </c>
      <c r="G1723" s="476">
        <v>12</v>
      </c>
      <c r="H1723" s="475" t="s">
        <v>1231</v>
      </c>
      <c r="I1723" s="487" t="s">
        <v>1232</v>
      </c>
      <c r="J1723" s="509">
        <v>718.75</v>
      </c>
    </row>
    <row r="1724" spans="1:10" ht="20.25" customHeight="1">
      <c r="A1724" s="471">
        <v>5111</v>
      </c>
      <c r="B1724" s="474" t="s">
        <v>1217</v>
      </c>
      <c r="C1724" s="473">
        <v>380</v>
      </c>
      <c r="D1724" s="478">
        <v>15</v>
      </c>
      <c r="E1724" s="474">
        <v>38867</v>
      </c>
      <c r="F1724" s="475" t="s">
        <v>446</v>
      </c>
      <c r="G1724" s="476">
        <v>12</v>
      </c>
      <c r="H1724" s="475" t="s">
        <v>1231</v>
      </c>
      <c r="I1724" s="487" t="s">
        <v>1232</v>
      </c>
      <c r="J1724" s="509">
        <v>718.75</v>
      </c>
    </row>
    <row r="1725" spans="1:10" ht="20.25" customHeight="1">
      <c r="A1725" s="471">
        <v>5111</v>
      </c>
      <c r="B1725" s="474" t="s">
        <v>1217</v>
      </c>
      <c r="C1725" s="473">
        <v>381</v>
      </c>
      <c r="D1725" s="478">
        <v>15</v>
      </c>
      <c r="E1725" s="474">
        <v>38867</v>
      </c>
      <c r="F1725" s="475" t="s">
        <v>446</v>
      </c>
      <c r="G1725" s="476">
        <v>12</v>
      </c>
      <c r="H1725" s="475" t="s">
        <v>1231</v>
      </c>
      <c r="I1725" s="487" t="s">
        <v>1232</v>
      </c>
      <c r="J1725" s="509">
        <v>718.75</v>
      </c>
    </row>
    <row r="1726" spans="1:10" ht="20.25" customHeight="1">
      <c r="A1726" s="471">
        <v>5111</v>
      </c>
      <c r="B1726" s="474" t="s">
        <v>1217</v>
      </c>
      <c r="C1726" s="473">
        <v>382</v>
      </c>
      <c r="D1726" s="478">
        <v>15</v>
      </c>
      <c r="E1726" s="474">
        <v>38867</v>
      </c>
      <c r="F1726" s="475" t="s">
        <v>446</v>
      </c>
      <c r="G1726" s="476">
        <v>12</v>
      </c>
      <c r="H1726" s="475" t="s">
        <v>1231</v>
      </c>
      <c r="I1726" s="487" t="s">
        <v>1232</v>
      </c>
      <c r="J1726" s="509">
        <v>718.75</v>
      </c>
    </row>
    <row r="1727" spans="1:10" ht="20.25" customHeight="1">
      <c r="A1727" s="471">
        <v>5111</v>
      </c>
      <c r="B1727" s="474" t="s">
        <v>1217</v>
      </c>
      <c r="C1727" s="473">
        <v>383</v>
      </c>
      <c r="D1727" s="478">
        <v>15</v>
      </c>
      <c r="E1727" s="474">
        <v>38867</v>
      </c>
      <c r="F1727" s="475" t="s">
        <v>446</v>
      </c>
      <c r="G1727" s="476">
        <v>12</v>
      </c>
      <c r="H1727" s="475" t="s">
        <v>1231</v>
      </c>
      <c r="I1727" s="487" t="s">
        <v>1232</v>
      </c>
      <c r="J1727" s="509">
        <v>718.75</v>
      </c>
    </row>
    <row r="1728" spans="1:10" ht="20.25" customHeight="1">
      <c r="A1728" s="471">
        <v>5111</v>
      </c>
      <c r="B1728" s="474" t="s">
        <v>1217</v>
      </c>
      <c r="C1728" s="473">
        <v>384</v>
      </c>
      <c r="D1728" s="478">
        <v>15</v>
      </c>
      <c r="E1728" s="474">
        <v>38867</v>
      </c>
      <c r="F1728" s="475" t="s">
        <v>446</v>
      </c>
      <c r="G1728" s="476">
        <v>12</v>
      </c>
      <c r="H1728" s="475" t="s">
        <v>1231</v>
      </c>
      <c r="I1728" s="487" t="s">
        <v>1232</v>
      </c>
      <c r="J1728" s="509">
        <v>718.75</v>
      </c>
    </row>
    <row r="1729" spans="1:10" ht="20.25" customHeight="1">
      <c r="A1729" s="471">
        <v>5111</v>
      </c>
      <c r="B1729" s="474" t="s">
        <v>1217</v>
      </c>
      <c r="C1729" s="473">
        <v>385</v>
      </c>
      <c r="D1729" s="478">
        <v>15</v>
      </c>
      <c r="E1729" s="474">
        <v>38867</v>
      </c>
      <c r="F1729" s="475" t="s">
        <v>446</v>
      </c>
      <c r="G1729" s="476">
        <v>12</v>
      </c>
      <c r="H1729" s="475" t="s">
        <v>1231</v>
      </c>
      <c r="I1729" s="487" t="s">
        <v>1232</v>
      </c>
      <c r="J1729" s="509">
        <v>718.75</v>
      </c>
    </row>
    <row r="1730" spans="1:10" ht="20.25" customHeight="1">
      <c r="A1730" s="471">
        <v>5111</v>
      </c>
      <c r="B1730" s="474" t="s">
        <v>1217</v>
      </c>
      <c r="C1730" s="473">
        <v>386</v>
      </c>
      <c r="D1730" s="478">
        <v>15</v>
      </c>
      <c r="E1730" s="474">
        <v>38867</v>
      </c>
      <c r="F1730" s="475" t="s">
        <v>446</v>
      </c>
      <c r="G1730" s="476">
        <v>12</v>
      </c>
      <c r="H1730" s="475" t="s">
        <v>1231</v>
      </c>
      <c r="I1730" s="487" t="s">
        <v>1232</v>
      </c>
      <c r="J1730" s="509">
        <v>718.75</v>
      </c>
    </row>
    <row r="1731" spans="1:10" ht="20.25" customHeight="1">
      <c r="A1731" s="471">
        <v>5111</v>
      </c>
      <c r="B1731" s="474" t="s">
        <v>1217</v>
      </c>
      <c r="C1731" s="473">
        <v>387</v>
      </c>
      <c r="D1731" s="478">
        <v>15</v>
      </c>
      <c r="E1731" s="474">
        <v>38867</v>
      </c>
      <c r="F1731" s="475" t="s">
        <v>446</v>
      </c>
      <c r="G1731" s="476">
        <v>12</v>
      </c>
      <c r="H1731" s="475" t="s">
        <v>1231</v>
      </c>
      <c r="I1731" s="487" t="s">
        <v>1232</v>
      </c>
      <c r="J1731" s="509">
        <v>718.75</v>
      </c>
    </row>
    <row r="1732" spans="1:10" ht="20.25" customHeight="1">
      <c r="A1732" s="471">
        <v>5111</v>
      </c>
      <c r="B1732" s="474" t="s">
        <v>1217</v>
      </c>
      <c r="C1732" s="473">
        <v>388</v>
      </c>
      <c r="D1732" s="478">
        <v>15</v>
      </c>
      <c r="E1732" s="474">
        <v>38867</v>
      </c>
      <c r="F1732" s="475" t="s">
        <v>446</v>
      </c>
      <c r="G1732" s="476">
        <v>12</v>
      </c>
      <c r="H1732" s="475" t="s">
        <v>1231</v>
      </c>
      <c r="I1732" s="487" t="s">
        <v>1232</v>
      </c>
      <c r="J1732" s="509">
        <v>718.75</v>
      </c>
    </row>
    <row r="1733" spans="1:10" ht="20.25" customHeight="1">
      <c r="A1733" s="471">
        <v>5111</v>
      </c>
      <c r="B1733" s="474" t="s">
        <v>1217</v>
      </c>
      <c r="C1733" s="473">
        <v>389</v>
      </c>
      <c r="D1733" s="478">
        <v>15</v>
      </c>
      <c r="E1733" s="474">
        <v>38867</v>
      </c>
      <c r="F1733" s="475" t="s">
        <v>446</v>
      </c>
      <c r="G1733" s="476">
        <v>12</v>
      </c>
      <c r="H1733" s="475" t="s">
        <v>1231</v>
      </c>
      <c r="I1733" s="487" t="s">
        <v>1232</v>
      </c>
      <c r="J1733" s="509">
        <v>718.75</v>
      </c>
    </row>
    <row r="1734" spans="1:10" ht="20.25" customHeight="1">
      <c r="A1734" s="471">
        <v>5111</v>
      </c>
      <c r="B1734" s="474" t="s">
        <v>1217</v>
      </c>
      <c r="C1734" s="473">
        <v>390</v>
      </c>
      <c r="D1734" s="478">
        <v>15</v>
      </c>
      <c r="E1734" s="474">
        <v>38867</v>
      </c>
      <c r="F1734" s="475" t="s">
        <v>446</v>
      </c>
      <c r="G1734" s="476">
        <v>12</v>
      </c>
      <c r="H1734" s="475" t="s">
        <v>1231</v>
      </c>
      <c r="I1734" s="487" t="s">
        <v>1232</v>
      </c>
      <c r="J1734" s="509">
        <v>718.75</v>
      </c>
    </row>
    <row r="1735" spans="1:10" ht="20.25" customHeight="1">
      <c r="A1735" s="471">
        <v>5111</v>
      </c>
      <c r="B1735" s="474" t="s">
        <v>1217</v>
      </c>
      <c r="C1735" s="473">
        <v>391</v>
      </c>
      <c r="D1735" s="478">
        <v>15</v>
      </c>
      <c r="E1735" s="474">
        <v>38867</v>
      </c>
      <c r="F1735" s="475" t="s">
        <v>446</v>
      </c>
      <c r="G1735" s="476">
        <v>12</v>
      </c>
      <c r="H1735" s="475" t="s">
        <v>1231</v>
      </c>
      <c r="I1735" s="487" t="s">
        <v>1232</v>
      </c>
      <c r="J1735" s="509">
        <v>718.75</v>
      </c>
    </row>
    <row r="1736" spans="1:10" ht="20.25" customHeight="1">
      <c r="A1736" s="471">
        <v>5111</v>
      </c>
      <c r="B1736" s="474" t="s">
        <v>1217</v>
      </c>
      <c r="C1736" s="473">
        <v>392</v>
      </c>
      <c r="D1736" s="478">
        <v>15</v>
      </c>
      <c r="E1736" s="474">
        <v>38867</v>
      </c>
      <c r="F1736" s="475" t="s">
        <v>446</v>
      </c>
      <c r="G1736" s="476">
        <v>12</v>
      </c>
      <c r="H1736" s="475" t="s">
        <v>1231</v>
      </c>
      <c r="I1736" s="487" t="s">
        <v>1232</v>
      </c>
      <c r="J1736" s="509">
        <v>718.75</v>
      </c>
    </row>
    <row r="1737" spans="1:10" ht="20.25" customHeight="1">
      <c r="A1737" s="471">
        <v>5111</v>
      </c>
      <c r="B1737" s="474" t="s">
        <v>1217</v>
      </c>
      <c r="C1737" s="473">
        <v>393</v>
      </c>
      <c r="D1737" s="478">
        <v>15</v>
      </c>
      <c r="E1737" s="474">
        <v>38867</v>
      </c>
      <c r="F1737" s="475" t="s">
        <v>446</v>
      </c>
      <c r="G1737" s="476">
        <v>12</v>
      </c>
      <c r="H1737" s="475" t="s">
        <v>1231</v>
      </c>
      <c r="I1737" s="487" t="s">
        <v>1232</v>
      </c>
      <c r="J1737" s="509">
        <v>718.75</v>
      </c>
    </row>
    <row r="1738" spans="1:10" ht="20.25" customHeight="1">
      <c r="A1738" s="471">
        <v>5111</v>
      </c>
      <c r="B1738" s="474" t="s">
        <v>1217</v>
      </c>
      <c r="C1738" s="473">
        <v>394</v>
      </c>
      <c r="D1738" s="478">
        <v>15</v>
      </c>
      <c r="E1738" s="474">
        <v>38867</v>
      </c>
      <c r="F1738" s="475" t="s">
        <v>446</v>
      </c>
      <c r="G1738" s="476">
        <v>12</v>
      </c>
      <c r="H1738" s="475" t="s">
        <v>1231</v>
      </c>
      <c r="I1738" s="487" t="s">
        <v>1232</v>
      </c>
      <c r="J1738" s="509">
        <v>718.75</v>
      </c>
    </row>
    <row r="1739" spans="1:10" ht="20.25" customHeight="1">
      <c r="A1739" s="471">
        <v>5111</v>
      </c>
      <c r="B1739" s="474" t="s">
        <v>1217</v>
      </c>
      <c r="C1739" s="473">
        <v>395</v>
      </c>
      <c r="D1739" s="478">
        <v>15</v>
      </c>
      <c r="E1739" s="474">
        <v>38867</v>
      </c>
      <c r="F1739" s="475" t="s">
        <v>446</v>
      </c>
      <c r="G1739" s="476">
        <v>12</v>
      </c>
      <c r="H1739" s="475" t="s">
        <v>1231</v>
      </c>
      <c r="I1739" s="487" t="s">
        <v>1232</v>
      </c>
      <c r="J1739" s="509">
        <v>718.75</v>
      </c>
    </row>
    <row r="1740" spans="1:10" ht="20.25" customHeight="1">
      <c r="A1740" s="471">
        <v>5111</v>
      </c>
      <c r="B1740" s="474" t="s">
        <v>1217</v>
      </c>
      <c r="C1740" s="473">
        <v>396</v>
      </c>
      <c r="D1740" s="478">
        <v>15</v>
      </c>
      <c r="E1740" s="474">
        <v>38867</v>
      </c>
      <c r="F1740" s="475" t="s">
        <v>446</v>
      </c>
      <c r="G1740" s="476">
        <v>12</v>
      </c>
      <c r="H1740" s="475" t="s">
        <v>1231</v>
      </c>
      <c r="I1740" s="487" t="s">
        <v>1232</v>
      </c>
      <c r="J1740" s="509">
        <v>718.75</v>
      </c>
    </row>
    <row r="1741" spans="1:10" ht="20.25" customHeight="1">
      <c r="A1741" s="471">
        <v>5111</v>
      </c>
      <c r="B1741" s="474" t="s">
        <v>1217</v>
      </c>
      <c r="C1741" s="473">
        <v>397</v>
      </c>
      <c r="D1741" s="478">
        <v>15</v>
      </c>
      <c r="E1741" s="474">
        <v>38867</v>
      </c>
      <c r="F1741" s="475" t="s">
        <v>446</v>
      </c>
      <c r="G1741" s="476">
        <v>12</v>
      </c>
      <c r="H1741" s="475" t="s">
        <v>1231</v>
      </c>
      <c r="I1741" s="487" t="s">
        <v>1232</v>
      </c>
      <c r="J1741" s="509">
        <v>718.75</v>
      </c>
    </row>
    <row r="1742" spans="1:10" ht="20.25" customHeight="1">
      <c r="A1742" s="471">
        <v>5111</v>
      </c>
      <c r="B1742" s="474" t="s">
        <v>1217</v>
      </c>
      <c r="C1742" s="473">
        <v>398</v>
      </c>
      <c r="D1742" s="478">
        <v>15</v>
      </c>
      <c r="E1742" s="474">
        <v>38867</v>
      </c>
      <c r="F1742" s="475" t="s">
        <v>446</v>
      </c>
      <c r="G1742" s="476">
        <v>12</v>
      </c>
      <c r="H1742" s="475" t="s">
        <v>1231</v>
      </c>
      <c r="I1742" s="487" t="s">
        <v>1232</v>
      </c>
      <c r="J1742" s="509">
        <v>718.75</v>
      </c>
    </row>
    <row r="1743" spans="1:10" ht="20.25" customHeight="1">
      <c r="A1743" s="471">
        <v>5111</v>
      </c>
      <c r="B1743" s="474" t="s">
        <v>1217</v>
      </c>
      <c r="C1743" s="473">
        <v>399</v>
      </c>
      <c r="D1743" s="478">
        <v>15</v>
      </c>
      <c r="E1743" s="474">
        <v>38867</v>
      </c>
      <c r="F1743" s="475" t="s">
        <v>446</v>
      </c>
      <c r="G1743" s="476">
        <v>12</v>
      </c>
      <c r="H1743" s="475" t="s">
        <v>1231</v>
      </c>
      <c r="I1743" s="487" t="s">
        <v>1232</v>
      </c>
      <c r="J1743" s="509">
        <v>718.75</v>
      </c>
    </row>
    <row r="1744" spans="1:10" ht="20.25" customHeight="1">
      <c r="A1744" s="471">
        <v>5111</v>
      </c>
      <c r="B1744" s="474" t="s">
        <v>1217</v>
      </c>
      <c r="C1744" s="473">
        <v>400</v>
      </c>
      <c r="D1744" s="478">
        <v>15</v>
      </c>
      <c r="E1744" s="474">
        <v>38867</v>
      </c>
      <c r="F1744" s="475" t="s">
        <v>446</v>
      </c>
      <c r="G1744" s="476">
        <v>12</v>
      </c>
      <c r="H1744" s="475" t="s">
        <v>1231</v>
      </c>
      <c r="I1744" s="487" t="s">
        <v>1232</v>
      </c>
      <c r="J1744" s="509">
        <v>718.75</v>
      </c>
    </row>
    <row r="1745" spans="1:10" ht="20.25" customHeight="1">
      <c r="A1745" s="471">
        <v>5111</v>
      </c>
      <c r="B1745" s="474" t="s">
        <v>1217</v>
      </c>
      <c r="C1745" s="473">
        <v>401</v>
      </c>
      <c r="D1745" s="478">
        <v>15</v>
      </c>
      <c r="E1745" s="474">
        <v>38867</v>
      </c>
      <c r="F1745" s="475" t="s">
        <v>446</v>
      </c>
      <c r="G1745" s="476">
        <v>12</v>
      </c>
      <c r="H1745" s="475" t="s">
        <v>1231</v>
      </c>
      <c r="I1745" s="487" t="s">
        <v>1232</v>
      </c>
      <c r="J1745" s="509">
        <v>718.75</v>
      </c>
    </row>
    <row r="1746" spans="1:10" ht="20.25" customHeight="1">
      <c r="A1746" s="471">
        <v>5111</v>
      </c>
      <c r="B1746" s="474" t="s">
        <v>1217</v>
      </c>
      <c r="C1746" s="473">
        <v>402</v>
      </c>
      <c r="D1746" s="478">
        <v>15</v>
      </c>
      <c r="E1746" s="474">
        <v>38867</v>
      </c>
      <c r="F1746" s="475" t="s">
        <v>446</v>
      </c>
      <c r="G1746" s="476">
        <v>12</v>
      </c>
      <c r="H1746" s="475" t="s">
        <v>1231</v>
      </c>
      <c r="I1746" s="487" t="s">
        <v>1232</v>
      </c>
      <c r="J1746" s="509">
        <v>718.75</v>
      </c>
    </row>
    <row r="1747" spans="1:10" ht="20.25" customHeight="1">
      <c r="A1747" s="471">
        <v>5111</v>
      </c>
      <c r="B1747" s="474" t="s">
        <v>1217</v>
      </c>
      <c r="C1747" s="473">
        <v>403</v>
      </c>
      <c r="D1747" s="478">
        <v>15</v>
      </c>
      <c r="E1747" s="474">
        <v>38867</v>
      </c>
      <c r="F1747" s="475" t="s">
        <v>446</v>
      </c>
      <c r="G1747" s="476">
        <v>12</v>
      </c>
      <c r="H1747" s="475" t="s">
        <v>1231</v>
      </c>
      <c r="I1747" s="487" t="s">
        <v>1232</v>
      </c>
      <c r="J1747" s="509">
        <v>718.75</v>
      </c>
    </row>
    <row r="1748" spans="1:10" ht="20.25" customHeight="1">
      <c r="A1748" s="471">
        <v>5111</v>
      </c>
      <c r="B1748" s="474" t="s">
        <v>1217</v>
      </c>
      <c r="C1748" s="473">
        <v>404</v>
      </c>
      <c r="D1748" s="478">
        <v>15</v>
      </c>
      <c r="E1748" s="474">
        <v>38867</v>
      </c>
      <c r="F1748" s="475" t="s">
        <v>446</v>
      </c>
      <c r="G1748" s="476">
        <v>12</v>
      </c>
      <c r="H1748" s="475" t="s">
        <v>1231</v>
      </c>
      <c r="I1748" s="487" t="s">
        <v>1232</v>
      </c>
      <c r="J1748" s="509">
        <v>718.75</v>
      </c>
    </row>
    <row r="1749" spans="1:10" ht="20.25" customHeight="1">
      <c r="A1749" s="471">
        <v>5111</v>
      </c>
      <c r="B1749" s="474" t="s">
        <v>1217</v>
      </c>
      <c r="C1749" s="473">
        <v>405</v>
      </c>
      <c r="D1749" s="478">
        <v>15</v>
      </c>
      <c r="E1749" s="474">
        <v>38867</v>
      </c>
      <c r="F1749" s="475" t="s">
        <v>446</v>
      </c>
      <c r="G1749" s="476">
        <v>12</v>
      </c>
      <c r="H1749" s="475" t="s">
        <v>1231</v>
      </c>
      <c r="I1749" s="487" t="s">
        <v>1232</v>
      </c>
      <c r="J1749" s="509">
        <v>718.75</v>
      </c>
    </row>
    <row r="1750" spans="1:10" ht="20.25" customHeight="1">
      <c r="A1750" s="471">
        <v>5111</v>
      </c>
      <c r="B1750" s="474" t="s">
        <v>1217</v>
      </c>
      <c r="C1750" s="473">
        <v>406</v>
      </c>
      <c r="D1750" s="478">
        <v>15</v>
      </c>
      <c r="E1750" s="474">
        <v>38867</v>
      </c>
      <c r="F1750" s="475" t="s">
        <v>446</v>
      </c>
      <c r="G1750" s="476">
        <v>12</v>
      </c>
      <c r="H1750" s="475" t="s">
        <v>1231</v>
      </c>
      <c r="I1750" s="487" t="s">
        <v>1232</v>
      </c>
      <c r="J1750" s="509">
        <v>718.75</v>
      </c>
    </row>
    <row r="1751" spans="1:10" ht="20.25" customHeight="1">
      <c r="A1751" s="471">
        <v>5111</v>
      </c>
      <c r="B1751" s="474" t="s">
        <v>1217</v>
      </c>
      <c r="C1751" s="473">
        <v>407</v>
      </c>
      <c r="D1751" s="478">
        <v>15</v>
      </c>
      <c r="E1751" s="474">
        <v>38867</v>
      </c>
      <c r="F1751" s="475" t="s">
        <v>446</v>
      </c>
      <c r="G1751" s="476">
        <v>12</v>
      </c>
      <c r="H1751" s="475" t="s">
        <v>1231</v>
      </c>
      <c r="I1751" s="487" t="s">
        <v>1232</v>
      </c>
      <c r="J1751" s="509">
        <v>718.75</v>
      </c>
    </row>
    <row r="1752" spans="1:10" ht="20.25" customHeight="1">
      <c r="A1752" s="471">
        <v>5111</v>
      </c>
      <c r="B1752" s="474" t="s">
        <v>1217</v>
      </c>
      <c r="C1752" s="473">
        <v>408</v>
      </c>
      <c r="D1752" s="478">
        <v>15</v>
      </c>
      <c r="E1752" s="474">
        <v>38867</v>
      </c>
      <c r="F1752" s="475" t="s">
        <v>446</v>
      </c>
      <c r="G1752" s="476">
        <v>12</v>
      </c>
      <c r="H1752" s="475" t="s">
        <v>1231</v>
      </c>
      <c r="I1752" s="487" t="s">
        <v>1232</v>
      </c>
      <c r="J1752" s="509">
        <v>718.75</v>
      </c>
    </row>
    <row r="1753" spans="1:10" ht="20.25" customHeight="1">
      <c r="A1753" s="471">
        <v>5111</v>
      </c>
      <c r="B1753" s="474" t="s">
        <v>1217</v>
      </c>
      <c r="C1753" s="473">
        <v>409</v>
      </c>
      <c r="D1753" s="478">
        <v>15</v>
      </c>
      <c r="E1753" s="474">
        <v>38867</v>
      </c>
      <c r="F1753" s="475" t="s">
        <v>446</v>
      </c>
      <c r="G1753" s="476">
        <v>12</v>
      </c>
      <c r="H1753" s="475" t="s">
        <v>1231</v>
      </c>
      <c r="I1753" s="487" t="s">
        <v>1232</v>
      </c>
      <c r="J1753" s="509">
        <v>718.75</v>
      </c>
    </row>
    <row r="1754" spans="1:10" ht="20.25" customHeight="1">
      <c r="A1754" s="471">
        <v>5111</v>
      </c>
      <c r="B1754" s="474" t="s">
        <v>1217</v>
      </c>
      <c r="C1754" s="473">
        <v>410</v>
      </c>
      <c r="D1754" s="478">
        <v>15</v>
      </c>
      <c r="E1754" s="474">
        <v>38867</v>
      </c>
      <c r="F1754" s="475" t="s">
        <v>446</v>
      </c>
      <c r="G1754" s="476">
        <v>12</v>
      </c>
      <c r="H1754" s="475" t="s">
        <v>1231</v>
      </c>
      <c r="I1754" s="487" t="s">
        <v>1232</v>
      </c>
      <c r="J1754" s="509">
        <v>718.75</v>
      </c>
    </row>
    <row r="1755" spans="1:10" ht="20.25" customHeight="1">
      <c r="A1755" s="471">
        <v>5111</v>
      </c>
      <c r="B1755" s="474" t="s">
        <v>1217</v>
      </c>
      <c r="C1755" s="473">
        <v>411</v>
      </c>
      <c r="D1755" s="478">
        <v>15</v>
      </c>
      <c r="E1755" s="474">
        <v>38867</v>
      </c>
      <c r="F1755" s="475" t="s">
        <v>446</v>
      </c>
      <c r="G1755" s="476">
        <v>12</v>
      </c>
      <c r="H1755" s="475" t="s">
        <v>1231</v>
      </c>
      <c r="I1755" s="487" t="s">
        <v>1232</v>
      </c>
      <c r="J1755" s="509">
        <v>718.75</v>
      </c>
    </row>
    <row r="1756" spans="1:10" ht="20.25" customHeight="1">
      <c r="A1756" s="471">
        <v>5111</v>
      </c>
      <c r="B1756" s="474" t="s">
        <v>1217</v>
      </c>
      <c r="C1756" s="473">
        <v>412</v>
      </c>
      <c r="D1756" s="478">
        <v>15</v>
      </c>
      <c r="E1756" s="474">
        <v>38867</v>
      </c>
      <c r="F1756" s="475" t="s">
        <v>446</v>
      </c>
      <c r="G1756" s="476">
        <v>12</v>
      </c>
      <c r="H1756" s="475" t="s">
        <v>1231</v>
      </c>
      <c r="I1756" s="487" t="s">
        <v>1232</v>
      </c>
      <c r="J1756" s="509">
        <v>718.75</v>
      </c>
    </row>
    <row r="1757" spans="1:10" ht="20.25" customHeight="1">
      <c r="A1757" s="471">
        <v>5111</v>
      </c>
      <c r="B1757" s="474" t="s">
        <v>1217</v>
      </c>
      <c r="C1757" s="473">
        <v>413</v>
      </c>
      <c r="D1757" s="478">
        <v>15</v>
      </c>
      <c r="E1757" s="474">
        <v>38867</v>
      </c>
      <c r="F1757" s="475" t="s">
        <v>446</v>
      </c>
      <c r="G1757" s="476">
        <v>12</v>
      </c>
      <c r="H1757" s="475" t="s">
        <v>1231</v>
      </c>
      <c r="I1757" s="487" t="s">
        <v>1232</v>
      </c>
      <c r="J1757" s="509">
        <v>718.75</v>
      </c>
    </row>
    <row r="1758" spans="1:10" ht="20.25" customHeight="1">
      <c r="A1758" s="471">
        <v>5111</v>
      </c>
      <c r="B1758" s="474" t="s">
        <v>1217</v>
      </c>
      <c r="C1758" s="473">
        <v>414</v>
      </c>
      <c r="D1758" s="478">
        <v>15</v>
      </c>
      <c r="E1758" s="474">
        <v>38867</v>
      </c>
      <c r="F1758" s="475" t="s">
        <v>446</v>
      </c>
      <c r="G1758" s="476">
        <v>12</v>
      </c>
      <c r="H1758" s="475" t="s">
        <v>1231</v>
      </c>
      <c r="I1758" s="487" t="s">
        <v>1232</v>
      </c>
      <c r="J1758" s="509">
        <v>718.75</v>
      </c>
    </row>
    <row r="1759" spans="1:10" ht="20.25" customHeight="1">
      <c r="A1759" s="471">
        <v>5111</v>
      </c>
      <c r="B1759" s="474" t="s">
        <v>1217</v>
      </c>
      <c r="C1759" s="473">
        <v>415</v>
      </c>
      <c r="D1759" s="478">
        <v>15</v>
      </c>
      <c r="E1759" s="474">
        <v>38867</v>
      </c>
      <c r="F1759" s="475" t="s">
        <v>446</v>
      </c>
      <c r="G1759" s="476">
        <v>12</v>
      </c>
      <c r="H1759" s="475" t="s">
        <v>1231</v>
      </c>
      <c r="I1759" s="487" t="s">
        <v>1232</v>
      </c>
      <c r="J1759" s="509">
        <v>718.75</v>
      </c>
    </row>
    <row r="1760" spans="1:10" ht="20.25" customHeight="1">
      <c r="A1760" s="471">
        <v>5111</v>
      </c>
      <c r="B1760" s="474" t="s">
        <v>1217</v>
      </c>
      <c r="C1760" s="473">
        <v>416</v>
      </c>
      <c r="D1760" s="478">
        <v>15</v>
      </c>
      <c r="E1760" s="474">
        <v>38867</v>
      </c>
      <c r="F1760" s="475" t="s">
        <v>446</v>
      </c>
      <c r="G1760" s="476">
        <v>12</v>
      </c>
      <c r="H1760" s="475" t="s">
        <v>1231</v>
      </c>
      <c r="I1760" s="487" t="s">
        <v>1232</v>
      </c>
      <c r="J1760" s="509">
        <v>718.75</v>
      </c>
    </row>
    <row r="1761" spans="1:10" ht="20.25" customHeight="1">
      <c r="A1761" s="471">
        <v>5111</v>
      </c>
      <c r="B1761" s="474" t="s">
        <v>1217</v>
      </c>
      <c r="C1761" s="473">
        <v>417</v>
      </c>
      <c r="D1761" s="478">
        <v>15</v>
      </c>
      <c r="E1761" s="474">
        <v>38867</v>
      </c>
      <c r="F1761" s="475" t="s">
        <v>446</v>
      </c>
      <c r="G1761" s="476">
        <v>12</v>
      </c>
      <c r="H1761" s="475" t="s">
        <v>1231</v>
      </c>
      <c r="I1761" s="487" t="s">
        <v>1232</v>
      </c>
      <c r="J1761" s="509">
        <v>718.75</v>
      </c>
    </row>
    <row r="1762" spans="1:10" ht="20.25" customHeight="1">
      <c r="A1762" s="471">
        <v>5111</v>
      </c>
      <c r="B1762" s="474" t="s">
        <v>1217</v>
      </c>
      <c r="C1762" s="473">
        <v>418</v>
      </c>
      <c r="D1762" s="478">
        <v>15</v>
      </c>
      <c r="E1762" s="474">
        <v>38867</v>
      </c>
      <c r="F1762" s="475" t="s">
        <v>446</v>
      </c>
      <c r="G1762" s="476">
        <v>12</v>
      </c>
      <c r="H1762" s="475" t="s">
        <v>1231</v>
      </c>
      <c r="I1762" s="487" t="s">
        <v>1232</v>
      </c>
      <c r="J1762" s="509">
        <v>718.75</v>
      </c>
    </row>
    <row r="1763" spans="1:10" ht="20.25" customHeight="1">
      <c r="A1763" s="471">
        <v>5111</v>
      </c>
      <c r="B1763" s="474" t="s">
        <v>1217</v>
      </c>
      <c r="C1763" s="473">
        <v>419</v>
      </c>
      <c r="D1763" s="478">
        <v>15</v>
      </c>
      <c r="E1763" s="474">
        <v>38867</v>
      </c>
      <c r="F1763" s="475" t="s">
        <v>446</v>
      </c>
      <c r="G1763" s="476">
        <v>12</v>
      </c>
      <c r="H1763" s="475" t="s">
        <v>1231</v>
      </c>
      <c r="I1763" s="487" t="s">
        <v>1232</v>
      </c>
      <c r="J1763" s="509">
        <v>718.75</v>
      </c>
    </row>
    <row r="1764" spans="1:10" ht="20.25" customHeight="1">
      <c r="A1764" s="471">
        <v>5111</v>
      </c>
      <c r="B1764" s="474" t="s">
        <v>1217</v>
      </c>
      <c r="C1764" s="473">
        <v>420</v>
      </c>
      <c r="D1764" s="478">
        <v>15</v>
      </c>
      <c r="E1764" s="474">
        <v>38867</v>
      </c>
      <c r="F1764" s="475" t="s">
        <v>446</v>
      </c>
      <c r="G1764" s="476">
        <v>12</v>
      </c>
      <c r="H1764" s="475" t="s">
        <v>1231</v>
      </c>
      <c r="I1764" s="487" t="s">
        <v>1232</v>
      </c>
      <c r="J1764" s="509">
        <v>718.75</v>
      </c>
    </row>
    <row r="1765" spans="1:10" ht="20.25" customHeight="1">
      <c r="A1765" s="471">
        <v>5111</v>
      </c>
      <c r="B1765" s="474" t="s">
        <v>1217</v>
      </c>
      <c r="C1765" s="473">
        <v>421</v>
      </c>
      <c r="D1765" s="478">
        <v>15</v>
      </c>
      <c r="E1765" s="474">
        <v>38867</v>
      </c>
      <c r="F1765" s="475" t="s">
        <v>446</v>
      </c>
      <c r="G1765" s="476">
        <v>12</v>
      </c>
      <c r="H1765" s="475" t="s">
        <v>1231</v>
      </c>
      <c r="I1765" s="487" t="s">
        <v>1232</v>
      </c>
      <c r="J1765" s="509">
        <v>718.75</v>
      </c>
    </row>
    <row r="1766" spans="1:10" ht="20.25" customHeight="1">
      <c r="A1766" s="471">
        <v>5111</v>
      </c>
      <c r="B1766" s="474" t="s">
        <v>1217</v>
      </c>
      <c r="C1766" s="473">
        <v>422</v>
      </c>
      <c r="D1766" s="478">
        <v>15</v>
      </c>
      <c r="E1766" s="474">
        <v>38867</v>
      </c>
      <c r="F1766" s="475" t="s">
        <v>446</v>
      </c>
      <c r="G1766" s="476">
        <v>12</v>
      </c>
      <c r="H1766" s="475" t="s">
        <v>1231</v>
      </c>
      <c r="I1766" s="487" t="s">
        <v>1232</v>
      </c>
      <c r="J1766" s="509">
        <v>718.75</v>
      </c>
    </row>
    <row r="1767" spans="1:10" ht="20.25" customHeight="1">
      <c r="A1767" s="471">
        <v>5111</v>
      </c>
      <c r="B1767" s="474" t="s">
        <v>1217</v>
      </c>
      <c r="C1767" s="473">
        <v>423</v>
      </c>
      <c r="D1767" s="478">
        <v>15</v>
      </c>
      <c r="E1767" s="474">
        <v>38867</v>
      </c>
      <c r="F1767" s="475" t="s">
        <v>446</v>
      </c>
      <c r="G1767" s="476">
        <v>13</v>
      </c>
      <c r="H1767" s="475" t="s">
        <v>1233</v>
      </c>
      <c r="I1767" s="487" t="s">
        <v>1234</v>
      </c>
      <c r="J1767" s="509">
        <v>868.25</v>
      </c>
    </row>
    <row r="1768" spans="1:10" ht="20.25" customHeight="1">
      <c r="A1768" s="471">
        <v>5111</v>
      </c>
      <c r="B1768" s="474" t="s">
        <v>1217</v>
      </c>
      <c r="C1768" s="473">
        <v>424</v>
      </c>
      <c r="D1768" s="478">
        <v>15</v>
      </c>
      <c r="E1768" s="474">
        <v>38867</v>
      </c>
      <c r="F1768" s="475" t="s">
        <v>446</v>
      </c>
      <c r="G1768" s="476">
        <v>11</v>
      </c>
      <c r="H1768" s="475" t="s">
        <v>1235</v>
      </c>
      <c r="I1768" s="487" t="s">
        <v>1236</v>
      </c>
      <c r="J1768" s="509">
        <v>2018.25</v>
      </c>
    </row>
    <row r="1769" spans="1:10" ht="20.25" customHeight="1">
      <c r="A1769" s="471">
        <v>5111</v>
      </c>
      <c r="B1769" s="474" t="s">
        <v>1217</v>
      </c>
      <c r="C1769" s="473">
        <v>425</v>
      </c>
      <c r="D1769" s="478">
        <v>15</v>
      </c>
      <c r="E1769" s="474">
        <v>38867</v>
      </c>
      <c r="F1769" s="475" t="s">
        <v>446</v>
      </c>
      <c r="G1769" s="476">
        <v>11</v>
      </c>
      <c r="H1769" s="475" t="s">
        <v>1235</v>
      </c>
      <c r="I1769" s="487" t="s">
        <v>1236</v>
      </c>
      <c r="J1769" s="509">
        <v>2018.25</v>
      </c>
    </row>
    <row r="1770" spans="1:10" ht="20.25" customHeight="1">
      <c r="A1770" s="471">
        <v>5111</v>
      </c>
      <c r="B1770" s="474" t="s">
        <v>1217</v>
      </c>
      <c r="C1770" s="473">
        <v>426</v>
      </c>
      <c r="D1770" s="478">
        <v>15</v>
      </c>
      <c r="E1770" s="474">
        <v>38867</v>
      </c>
      <c r="F1770" s="475" t="s">
        <v>446</v>
      </c>
      <c r="G1770" s="476">
        <v>11</v>
      </c>
      <c r="H1770" s="475" t="s">
        <v>1235</v>
      </c>
      <c r="I1770" s="487" t="s">
        <v>1236</v>
      </c>
      <c r="J1770" s="509">
        <v>2018.25</v>
      </c>
    </row>
    <row r="1771" spans="1:10" ht="20.25" customHeight="1">
      <c r="A1771" s="471">
        <v>5111</v>
      </c>
      <c r="B1771" s="474" t="s">
        <v>1217</v>
      </c>
      <c r="C1771" s="473">
        <v>427</v>
      </c>
      <c r="D1771" s="478">
        <v>15</v>
      </c>
      <c r="E1771" s="474">
        <v>38867</v>
      </c>
      <c r="F1771" s="475" t="s">
        <v>446</v>
      </c>
      <c r="G1771" s="476">
        <v>9</v>
      </c>
      <c r="H1771" s="475" t="s">
        <v>1237</v>
      </c>
      <c r="I1771" s="487" t="s">
        <v>1238</v>
      </c>
      <c r="J1771" s="509">
        <v>2033.2</v>
      </c>
    </row>
    <row r="1772" spans="1:10" ht="20.25" customHeight="1">
      <c r="A1772" s="471">
        <v>5111</v>
      </c>
      <c r="B1772" s="474" t="s">
        <v>1217</v>
      </c>
      <c r="C1772" s="473">
        <v>428</v>
      </c>
      <c r="D1772" s="478">
        <v>15</v>
      </c>
      <c r="E1772" s="474">
        <v>38867</v>
      </c>
      <c r="F1772" s="475" t="s">
        <v>446</v>
      </c>
      <c r="G1772" s="476">
        <v>9</v>
      </c>
      <c r="H1772" s="475" t="s">
        <v>1237</v>
      </c>
      <c r="I1772" s="487" t="s">
        <v>1238</v>
      </c>
      <c r="J1772" s="509">
        <v>2033.2</v>
      </c>
    </row>
    <row r="1773" spans="1:10" ht="20.25" customHeight="1">
      <c r="A1773" s="471">
        <v>5111</v>
      </c>
      <c r="B1773" s="474" t="s">
        <v>1217</v>
      </c>
      <c r="C1773" s="473">
        <v>429</v>
      </c>
      <c r="D1773" s="478">
        <v>15</v>
      </c>
      <c r="E1773" s="474">
        <v>38867</v>
      </c>
      <c r="F1773" s="475" t="s">
        <v>446</v>
      </c>
      <c r="G1773" s="476">
        <v>9</v>
      </c>
      <c r="H1773" s="475" t="s">
        <v>1237</v>
      </c>
      <c r="I1773" s="487" t="s">
        <v>1238</v>
      </c>
      <c r="J1773" s="509">
        <v>2033.2</v>
      </c>
    </row>
    <row r="1774" spans="1:10" ht="20.25" customHeight="1">
      <c r="A1774" s="471">
        <v>5111</v>
      </c>
      <c r="B1774" s="474" t="s">
        <v>1217</v>
      </c>
      <c r="C1774" s="473">
        <v>430</v>
      </c>
      <c r="D1774" s="478">
        <v>15</v>
      </c>
      <c r="E1774" s="474">
        <v>38867</v>
      </c>
      <c r="F1774" s="475" t="s">
        <v>446</v>
      </c>
      <c r="G1774" s="476">
        <v>9</v>
      </c>
      <c r="H1774" s="475" t="s">
        <v>1237</v>
      </c>
      <c r="I1774" s="487" t="s">
        <v>1238</v>
      </c>
      <c r="J1774" s="509">
        <v>2033.2</v>
      </c>
    </row>
    <row r="1775" spans="1:10" ht="20.25" customHeight="1">
      <c r="A1775" s="471">
        <v>5111</v>
      </c>
      <c r="B1775" s="474" t="s">
        <v>1217</v>
      </c>
      <c r="C1775" s="473">
        <v>431</v>
      </c>
      <c r="D1775" s="478">
        <v>15</v>
      </c>
      <c r="E1775" s="474">
        <v>38867</v>
      </c>
      <c r="F1775" s="475" t="s">
        <v>446</v>
      </c>
      <c r="G1775" s="476">
        <v>10</v>
      </c>
      <c r="H1775" s="475" t="s">
        <v>1239</v>
      </c>
      <c r="I1775" s="487" t="s">
        <v>1240</v>
      </c>
      <c r="J1775" s="509">
        <v>2093</v>
      </c>
    </row>
    <row r="1776" spans="1:10" ht="20.25" customHeight="1">
      <c r="A1776" s="471">
        <v>5111</v>
      </c>
      <c r="B1776" s="474" t="s">
        <v>1217</v>
      </c>
      <c r="C1776" s="473">
        <v>432</v>
      </c>
      <c r="D1776" s="478">
        <v>15</v>
      </c>
      <c r="E1776" s="474">
        <v>38867</v>
      </c>
      <c r="F1776" s="475" t="s">
        <v>446</v>
      </c>
      <c r="G1776" s="476">
        <v>8</v>
      </c>
      <c r="H1776" s="475" t="s">
        <v>1241</v>
      </c>
      <c r="I1776" s="487" t="s">
        <v>1242</v>
      </c>
      <c r="J1776" s="509">
        <v>2908.35</v>
      </c>
    </row>
    <row r="1777" spans="1:10" ht="20.25" customHeight="1">
      <c r="A1777" s="471">
        <v>5111</v>
      </c>
      <c r="B1777" s="474" t="s">
        <v>1217</v>
      </c>
      <c r="C1777" s="473">
        <v>433</v>
      </c>
      <c r="D1777" s="478">
        <v>15</v>
      </c>
      <c r="E1777" s="474">
        <v>38867</v>
      </c>
      <c r="F1777" s="475" t="s">
        <v>446</v>
      </c>
      <c r="G1777" s="476">
        <v>8</v>
      </c>
      <c r="H1777" s="475" t="s">
        <v>1241</v>
      </c>
      <c r="I1777" s="487" t="s">
        <v>1242</v>
      </c>
      <c r="J1777" s="509">
        <v>2908.35</v>
      </c>
    </row>
    <row r="1778" spans="1:10" ht="20.25" customHeight="1">
      <c r="A1778" s="471">
        <v>5111</v>
      </c>
      <c r="B1778" s="474" t="s">
        <v>1217</v>
      </c>
      <c r="C1778" s="473">
        <v>434</v>
      </c>
      <c r="D1778" s="478">
        <v>15</v>
      </c>
      <c r="E1778" s="474">
        <v>38867</v>
      </c>
      <c r="F1778" s="475" t="s">
        <v>446</v>
      </c>
      <c r="G1778" s="476">
        <v>8</v>
      </c>
      <c r="H1778" s="475" t="s">
        <v>1241</v>
      </c>
      <c r="I1778" s="487" t="s">
        <v>1242</v>
      </c>
      <c r="J1778" s="509">
        <v>2908.35</v>
      </c>
    </row>
    <row r="1779" spans="1:10" ht="20.25" customHeight="1">
      <c r="A1779" s="471">
        <v>5111</v>
      </c>
      <c r="B1779" s="474" t="s">
        <v>1217</v>
      </c>
      <c r="C1779" s="473">
        <v>435</v>
      </c>
      <c r="D1779" s="478">
        <v>15</v>
      </c>
      <c r="E1779" s="474">
        <v>38867</v>
      </c>
      <c r="F1779" s="475" t="s">
        <v>446</v>
      </c>
      <c r="G1779" s="476">
        <v>8</v>
      </c>
      <c r="H1779" s="475" t="s">
        <v>1241</v>
      </c>
      <c r="I1779" s="487" t="s">
        <v>1242</v>
      </c>
      <c r="J1779" s="509">
        <v>2908.35</v>
      </c>
    </row>
    <row r="1780" spans="1:10" ht="20.25" customHeight="1">
      <c r="A1780" s="471">
        <v>5111</v>
      </c>
      <c r="B1780" s="474" t="s">
        <v>1217</v>
      </c>
      <c r="C1780" s="473">
        <v>436</v>
      </c>
      <c r="D1780" s="478">
        <v>15</v>
      </c>
      <c r="E1780" s="474">
        <v>38867</v>
      </c>
      <c r="F1780" s="475" t="s">
        <v>446</v>
      </c>
      <c r="G1780" s="476">
        <v>8</v>
      </c>
      <c r="H1780" s="475" t="s">
        <v>1241</v>
      </c>
      <c r="I1780" s="487" t="s">
        <v>1242</v>
      </c>
      <c r="J1780" s="509">
        <v>2908.35</v>
      </c>
    </row>
    <row r="1781" spans="1:10" ht="20.25" customHeight="1">
      <c r="A1781" s="471">
        <v>5111</v>
      </c>
      <c r="B1781" s="474" t="s">
        <v>1217</v>
      </c>
      <c r="C1781" s="473">
        <v>437</v>
      </c>
      <c r="D1781" s="478">
        <v>15</v>
      </c>
      <c r="E1781" s="474">
        <v>38867</v>
      </c>
      <c r="F1781" s="475" t="s">
        <v>446</v>
      </c>
      <c r="G1781" s="476">
        <v>8</v>
      </c>
      <c r="H1781" s="475" t="s">
        <v>1241</v>
      </c>
      <c r="I1781" s="487" t="s">
        <v>1242</v>
      </c>
      <c r="J1781" s="509">
        <v>2908.35</v>
      </c>
    </row>
    <row r="1782" spans="1:10" ht="20.25" customHeight="1">
      <c r="A1782" s="471">
        <v>5111</v>
      </c>
      <c r="B1782" s="474" t="s">
        <v>1217</v>
      </c>
      <c r="C1782" s="473">
        <v>438</v>
      </c>
      <c r="D1782" s="478">
        <v>15</v>
      </c>
      <c r="E1782" s="474">
        <v>38867</v>
      </c>
      <c r="F1782" s="475" t="s">
        <v>446</v>
      </c>
      <c r="G1782" s="476">
        <v>8</v>
      </c>
      <c r="H1782" s="475" t="s">
        <v>1241</v>
      </c>
      <c r="I1782" s="487" t="s">
        <v>1242</v>
      </c>
      <c r="J1782" s="509">
        <v>2908.35</v>
      </c>
    </row>
    <row r="1783" spans="1:10" ht="20.25" customHeight="1">
      <c r="A1783" s="471">
        <v>5111</v>
      </c>
      <c r="B1783" s="474" t="s">
        <v>1217</v>
      </c>
      <c r="C1783" s="473">
        <v>439</v>
      </c>
      <c r="D1783" s="478">
        <v>15</v>
      </c>
      <c r="E1783" s="474">
        <v>38867</v>
      </c>
      <c r="F1783" s="475" t="s">
        <v>446</v>
      </c>
      <c r="G1783" s="476">
        <v>8</v>
      </c>
      <c r="H1783" s="475" t="s">
        <v>1241</v>
      </c>
      <c r="I1783" s="487" t="s">
        <v>1242</v>
      </c>
      <c r="J1783" s="509">
        <v>2908.35</v>
      </c>
    </row>
    <row r="1784" spans="1:10" ht="20.25" customHeight="1">
      <c r="A1784" s="471">
        <v>5111</v>
      </c>
      <c r="B1784" s="474" t="s">
        <v>1217</v>
      </c>
      <c r="C1784" s="473">
        <v>440</v>
      </c>
      <c r="D1784" s="478">
        <v>15</v>
      </c>
      <c r="E1784" s="474">
        <v>38867</v>
      </c>
      <c r="F1784" s="475" t="s">
        <v>446</v>
      </c>
      <c r="G1784" s="476">
        <v>7</v>
      </c>
      <c r="H1784" s="475" t="s">
        <v>1243</v>
      </c>
      <c r="I1784" s="487" t="s">
        <v>1244</v>
      </c>
      <c r="J1784" s="509">
        <v>2908.35</v>
      </c>
    </row>
    <row r="1785" spans="1:10" ht="20.25" customHeight="1">
      <c r="A1785" s="471">
        <v>5111</v>
      </c>
      <c r="B1785" s="474" t="s">
        <v>1217</v>
      </c>
      <c r="C1785" s="473">
        <v>441</v>
      </c>
      <c r="D1785" s="478">
        <v>15</v>
      </c>
      <c r="E1785" s="474">
        <v>38867</v>
      </c>
      <c r="F1785" s="475" t="s">
        <v>446</v>
      </c>
      <c r="G1785" s="476">
        <v>7</v>
      </c>
      <c r="H1785" s="475" t="s">
        <v>1243</v>
      </c>
      <c r="I1785" s="487" t="s">
        <v>1244</v>
      </c>
      <c r="J1785" s="509">
        <v>2908.35</v>
      </c>
    </row>
    <row r="1786" spans="1:10" ht="20.25" customHeight="1">
      <c r="A1786" s="471">
        <v>5111</v>
      </c>
      <c r="B1786" s="474" t="s">
        <v>1217</v>
      </c>
      <c r="C1786" s="473">
        <v>442</v>
      </c>
      <c r="D1786" s="478">
        <v>15</v>
      </c>
      <c r="E1786" s="474">
        <v>38867</v>
      </c>
      <c r="F1786" s="475" t="s">
        <v>446</v>
      </c>
      <c r="G1786" s="476">
        <v>7</v>
      </c>
      <c r="H1786" s="475" t="s">
        <v>1243</v>
      </c>
      <c r="I1786" s="487" t="s">
        <v>1244</v>
      </c>
      <c r="J1786" s="509">
        <v>2908.35</v>
      </c>
    </row>
    <row r="1787" spans="1:10" ht="20.25" customHeight="1">
      <c r="A1787" s="471">
        <v>5111</v>
      </c>
      <c r="B1787" s="474" t="s">
        <v>1217</v>
      </c>
      <c r="C1787" s="473">
        <v>443</v>
      </c>
      <c r="D1787" s="478">
        <v>15</v>
      </c>
      <c r="E1787" s="474">
        <v>38867</v>
      </c>
      <c r="F1787" s="475" t="s">
        <v>446</v>
      </c>
      <c r="G1787" s="476">
        <v>7</v>
      </c>
      <c r="H1787" s="475" t="s">
        <v>1243</v>
      </c>
      <c r="I1787" s="487" t="s">
        <v>1244</v>
      </c>
      <c r="J1787" s="509">
        <v>2908.35</v>
      </c>
    </row>
    <row r="1788" spans="1:10" ht="20.25" customHeight="1">
      <c r="A1788" s="471">
        <v>5111</v>
      </c>
      <c r="B1788" s="474" t="s">
        <v>1217</v>
      </c>
      <c r="C1788" s="473">
        <v>444</v>
      </c>
      <c r="D1788" s="478">
        <v>15</v>
      </c>
      <c r="E1788" s="474">
        <v>38867</v>
      </c>
      <c r="F1788" s="475" t="s">
        <v>446</v>
      </c>
      <c r="G1788" s="476">
        <v>7</v>
      </c>
      <c r="H1788" s="475" t="s">
        <v>1243</v>
      </c>
      <c r="I1788" s="487" t="s">
        <v>1244</v>
      </c>
      <c r="J1788" s="509">
        <v>2908.35</v>
      </c>
    </row>
    <row r="1789" spans="1:10" ht="20.25" customHeight="1">
      <c r="A1789" s="471">
        <v>5111</v>
      </c>
      <c r="B1789" s="474" t="s">
        <v>1217</v>
      </c>
      <c r="C1789" s="473">
        <v>445</v>
      </c>
      <c r="D1789" s="478">
        <v>15</v>
      </c>
      <c r="E1789" s="474">
        <v>38867</v>
      </c>
      <c r="F1789" s="475" t="s">
        <v>446</v>
      </c>
      <c r="G1789" s="476">
        <v>7</v>
      </c>
      <c r="H1789" s="475" t="s">
        <v>1243</v>
      </c>
      <c r="I1789" s="487" t="s">
        <v>1244</v>
      </c>
      <c r="J1789" s="509">
        <v>2908.35</v>
      </c>
    </row>
    <row r="1790" spans="1:10" ht="20.25" customHeight="1">
      <c r="A1790" s="471">
        <v>5111</v>
      </c>
      <c r="B1790" s="474" t="s">
        <v>1217</v>
      </c>
      <c r="C1790" s="473">
        <v>446</v>
      </c>
      <c r="D1790" s="478">
        <v>15</v>
      </c>
      <c r="E1790" s="474">
        <v>38867</v>
      </c>
      <c r="F1790" s="475" t="s">
        <v>446</v>
      </c>
      <c r="G1790" s="476">
        <v>7</v>
      </c>
      <c r="H1790" s="475" t="s">
        <v>1243</v>
      </c>
      <c r="I1790" s="487" t="s">
        <v>1244</v>
      </c>
      <c r="J1790" s="509">
        <v>2908.35</v>
      </c>
    </row>
    <row r="1791" spans="1:10" ht="20.25" customHeight="1">
      <c r="A1791" s="471">
        <v>5111</v>
      </c>
      <c r="B1791" s="474" t="s">
        <v>1217</v>
      </c>
      <c r="C1791" s="473">
        <v>447</v>
      </c>
      <c r="D1791" s="478">
        <v>15</v>
      </c>
      <c r="E1791" s="474">
        <v>38867</v>
      </c>
      <c r="F1791" s="475" t="s">
        <v>446</v>
      </c>
      <c r="G1791" s="476">
        <v>7</v>
      </c>
      <c r="H1791" s="475" t="s">
        <v>1243</v>
      </c>
      <c r="I1791" s="487" t="s">
        <v>1244</v>
      </c>
      <c r="J1791" s="509">
        <v>2908.35</v>
      </c>
    </row>
    <row r="1792" spans="1:10" ht="20.25" customHeight="1">
      <c r="A1792" s="471">
        <v>5111</v>
      </c>
      <c r="B1792" s="474" t="s">
        <v>1217</v>
      </c>
      <c r="C1792" s="473">
        <v>448</v>
      </c>
      <c r="D1792" s="478">
        <v>2299</v>
      </c>
      <c r="E1792" s="474">
        <v>38870</v>
      </c>
      <c r="F1792" s="475" t="s">
        <v>446</v>
      </c>
      <c r="G1792" s="476">
        <v>15</v>
      </c>
      <c r="H1792" s="475" t="s">
        <v>1245</v>
      </c>
      <c r="I1792" s="487" t="s">
        <v>1246</v>
      </c>
      <c r="J1792" s="509">
        <v>1259.25</v>
      </c>
    </row>
    <row r="1793" spans="1:10" ht="20.25" customHeight="1">
      <c r="A1793" s="471">
        <v>5111</v>
      </c>
      <c r="B1793" s="474" t="s">
        <v>1217</v>
      </c>
      <c r="C1793" s="473">
        <v>449</v>
      </c>
      <c r="D1793" s="478">
        <v>2299</v>
      </c>
      <c r="E1793" s="474">
        <v>38870</v>
      </c>
      <c r="F1793" s="475" t="s">
        <v>446</v>
      </c>
      <c r="G1793" s="476">
        <v>15</v>
      </c>
      <c r="H1793" s="475" t="s">
        <v>1245</v>
      </c>
      <c r="I1793" s="487" t="s">
        <v>1246</v>
      </c>
      <c r="J1793" s="509">
        <v>1259.25</v>
      </c>
    </row>
    <row r="1794" spans="1:10" ht="20.25" customHeight="1">
      <c r="A1794" s="471">
        <v>5191</v>
      </c>
      <c r="B1794" s="474" t="s">
        <v>1217</v>
      </c>
      <c r="C1794" s="473">
        <v>1</v>
      </c>
      <c r="D1794" s="478">
        <v>2271</v>
      </c>
      <c r="E1794" s="474">
        <v>38870</v>
      </c>
      <c r="F1794" s="475" t="s">
        <v>468</v>
      </c>
      <c r="G1794" s="476">
        <v>41</v>
      </c>
      <c r="H1794" s="475" t="s">
        <v>1247</v>
      </c>
      <c r="I1794" s="487" t="s">
        <v>1248</v>
      </c>
      <c r="J1794" s="509">
        <v>7994.42</v>
      </c>
    </row>
    <row r="1795" spans="1:10" ht="20.25" customHeight="1">
      <c r="A1795" s="471">
        <v>5191</v>
      </c>
      <c r="B1795" s="474" t="s">
        <v>1217</v>
      </c>
      <c r="C1795" s="473">
        <v>2</v>
      </c>
      <c r="D1795" s="478">
        <v>2299</v>
      </c>
      <c r="E1795" s="474">
        <v>38870</v>
      </c>
      <c r="F1795" s="475" t="s">
        <v>446</v>
      </c>
      <c r="G1795" s="476">
        <v>42</v>
      </c>
      <c r="H1795" s="475" t="s">
        <v>1249</v>
      </c>
      <c r="I1795" s="487" t="s">
        <v>1250</v>
      </c>
      <c r="J1795" s="509">
        <v>2511.6</v>
      </c>
    </row>
    <row r="1796" spans="1:10" ht="20.25" customHeight="1">
      <c r="A1796" s="471">
        <v>5191</v>
      </c>
      <c r="B1796" s="474" t="s">
        <v>1217</v>
      </c>
      <c r="C1796" s="473">
        <v>3</v>
      </c>
      <c r="D1796" s="478">
        <v>2299</v>
      </c>
      <c r="E1796" s="474">
        <v>38870</v>
      </c>
      <c r="F1796" s="475" t="s">
        <v>446</v>
      </c>
      <c r="G1796" s="476">
        <v>42</v>
      </c>
      <c r="H1796" s="475" t="s">
        <v>1249</v>
      </c>
      <c r="I1796" s="487" t="s">
        <v>1250</v>
      </c>
      <c r="J1796" s="509">
        <v>2511.6</v>
      </c>
    </row>
    <row r="1797" spans="1:10" ht="20.25" customHeight="1">
      <c r="A1797" s="471">
        <v>5191</v>
      </c>
      <c r="B1797" s="474" t="s">
        <v>1217</v>
      </c>
      <c r="C1797" s="473">
        <v>4</v>
      </c>
      <c r="D1797" s="478">
        <v>2299</v>
      </c>
      <c r="E1797" s="474">
        <v>38870</v>
      </c>
      <c r="F1797" s="475" t="s">
        <v>446</v>
      </c>
      <c r="G1797" s="476">
        <v>42</v>
      </c>
      <c r="H1797" s="475" t="s">
        <v>1249</v>
      </c>
      <c r="I1797" s="487" t="s">
        <v>1250</v>
      </c>
      <c r="J1797" s="509">
        <v>2511.6</v>
      </c>
    </row>
    <row r="1798" spans="1:10" ht="20.25" customHeight="1">
      <c r="A1798" s="471">
        <v>5191</v>
      </c>
      <c r="B1798" s="474" t="s">
        <v>1217</v>
      </c>
      <c r="C1798" s="473">
        <v>5</v>
      </c>
      <c r="D1798" s="478">
        <v>2299</v>
      </c>
      <c r="E1798" s="474">
        <v>38870</v>
      </c>
      <c r="F1798" s="475" t="s">
        <v>446</v>
      </c>
      <c r="G1798" s="476">
        <v>42</v>
      </c>
      <c r="H1798" s="475" t="s">
        <v>1249</v>
      </c>
      <c r="I1798" s="487" t="s">
        <v>1250</v>
      </c>
      <c r="J1798" s="509">
        <v>2511.6</v>
      </c>
    </row>
    <row r="1799" spans="1:10" ht="20.25" customHeight="1">
      <c r="A1799" s="471">
        <v>5311</v>
      </c>
      <c r="B1799" s="474" t="s">
        <v>1217</v>
      </c>
      <c r="C1799" s="473">
        <v>189</v>
      </c>
      <c r="D1799" s="478">
        <v>2299</v>
      </c>
      <c r="E1799" s="474">
        <v>38870</v>
      </c>
      <c r="F1799" s="475" t="s">
        <v>446</v>
      </c>
      <c r="G1799" s="476">
        <v>54</v>
      </c>
      <c r="H1799" s="475" t="s">
        <v>1251</v>
      </c>
      <c r="I1799" s="487" t="s">
        <v>1252</v>
      </c>
      <c r="J1799" s="509">
        <v>3169.4</v>
      </c>
    </row>
    <row r="1800" spans="1:10" ht="20.25" customHeight="1">
      <c r="A1800" s="471">
        <v>5311</v>
      </c>
      <c r="B1800" s="474" t="s">
        <v>1217</v>
      </c>
      <c r="C1800" s="473">
        <v>190</v>
      </c>
      <c r="D1800" s="478">
        <v>2299</v>
      </c>
      <c r="E1800" s="474">
        <v>38870</v>
      </c>
      <c r="F1800" s="475" t="s">
        <v>446</v>
      </c>
      <c r="G1800" s="476">
        <v>54</v>
      </c>
      <c r="H1800" s="475" t="s">
        <v>1251</v>
      </c>
      <c r="I1800" s="487" t="s">
        <v>1252</v>
      </c>
      <c r="J1800" s="509">
        <v>3169.4</v>
      </c>
    </row>
    <row r="1801" spans="1:10" ht="20.25" customHeight="1">
      <c r="A1801" s="471">
        <v>5311</v>
      </c>
      <c r="B1801" s="474" t="s">
        <v>1217</v>
      </c>
      <c r="C1801" s="473">
        <v>191</v>
      </c>
      <c r="D1801" s="478">
        <v>2299</v>
      </c>
      <c r="E1801" s="474">
        <v>38870</v>
      </c>
      <c r="F1801" s="475" t="s">
        <v>446</v>
      </c>
      <c r="G1801" s="476">
        <v>54</v>
      </c>
      <c r="H1801" s="475" t="s">
        <v>1251</v>
      </c>
      <c r="I1801" s="487" t="s">
        <v>1252</v>
      </c>
      <c r="J1801" s="509">
        <v>3169.4</v>
      </c>
    </row>
    <row r="1802" spans="1:10" ht="20.25" customHeight="1">
      <c r="A1802" s="471">
        <v>5311</v>
      </c>
      <c r="B1802" s="474" t="s">
        <v>1217</v>
      </c>
      <c r="C1802" s="473">
        <v>192</v>
      </c>
      <c r="D1802" s="478">
        <v>2299</v>
      </c>
      <c r="E1802" s="474">
        <v>38870</v>
      </c>
      <c r="F1802" s="475" t="s">
        <v>446</v>
      </c>
      <c r="G1802" s="476">
        <v>56</v>
      </c>
      <c r="H1802" s="475" t="s">
        <v>1253</v>
      </c>
      <c r="I1802" s="487" t="s">
        <v>1254</v>
      </c>
      <c r="J1802" s="509">
        <v>4335.5</v>
      </c>
    </row>
    <row r="1803" spans="1:10" ht="20.25" customHeight="1">
      <c r="A1803" s="471">
        <v>5311</v>
      </c>
      <c r="B1803" s="474" t="s">
        <v>1217</v>
      </c>
      <c r="C1803" s="473">
        <v>193</v>
      </c>
      <c r="D1803" s="478">
        <v>2299</v>
      </c>
      <c r="E1803" s="474">
        <v>38870</v>
      </c>
      <c r="F1803" s="475" t="s">
        <v>446</v>
      </c>
      <c r="G1803" s="476">
        <v>56</v>
      </c>
      <c r="H1803" s="475" t="s">
        <v>1253</v>
      </c>
      <c r="I1803" s="487" t="s">
        <v>1254</v>
      </c>
      <c r="J1803" s="509">
        <v>4335.5</v>
      </c>
    </row>
    <row r="1804" spans="1:10" ht="20.25" customHeight="1">
      <c r="A1804" s="471">
        <v>5311</v>
      </c>
      <c r="B1804" s="474" t="s">
        <v>1217</v>
      </c>
      <c r="C1804" s="473">
        <v>194</v>
      </c>
      <c r="D1804" s="478">
        <v>2299</v>
      </c>
      <c r="E1804" s="474">
        <v>38870</v>
      </c>
      <c r="F1804" s="475" t="s">
        <v>446</v>
      </c>
      <c r="G1804" s="476">
        <v>56</v>
      </c>
      <c r="H1804" s="475" t="s">
        <v>1253</v>
      </c>
      <c r="I1804" s="487" t="s">
        <v>1254</v>
      </c>
      <c r="J1804" s="509">
        <v>4335.5</v>
      </c>
    </row>
    <row r="1805" spans="1:10" ht="20.25" customHeight="1">
      <c r="A1805" s="471">
        <v>5311</v>
      </c>
      <c r="B1805" s="474" t="s">
        <v>1217</v>
      </c>
      <c r="C1805" s="473">
        <v>195</v>
      </c>
      <c r="D1805" s="478">
        <v>2299</v>
      </c>
      <c r="E1805" s="474">
        <v>38870</v>
      </c>
      <c r="F1805" s="475" t="s">
        <v>446</v>
      </c>
      <c r="G1805" s="476">
        <v>55</v>
      </c>
      <c r="H1805" s="475" t="s">
        <v>1255</v>
      </c>
      <c r="I1805" s="487" t="s">
        <v>1256</v>
      </c>
      <c r="J1805" s="509">
        <v>4410.25</v>
      </c>
    </row>
    <row r="1806" spans="1:10" ht="20.25" customHeight="1">
      <c r="A1806" s="471">
        <v>5311</v>
      </c>
      <c r="B1806" s="474" t="s">
        <v>1217</v>
      </c>
      <c r="C1806" s="473">
        <v>196</v>
      </c>
      <c r="D1806" s="478">
        <v>2299</v>
      </c>
      <c r="E1806" s="474">
        <v>38870</v>
      </c>
      <c r="F1806" s="475" t="s">
        <v>446</v>
      </c>
      <c r="G1806" s="476">
        <v>55</v>
      </c>
      <c r="H1806" s="475" t="s">
        <v>1255</v>
      </c>
      <c r="I1806" s="487" t="s">
        <v>1256</v>
      </c>
      <c r="J1806" s="509">
        <v>4410.25</v>
      </c>
    </row>
    <row r="1807" spans="1:10" ht="20.25" customHeight="1">
      <c r="A1807" s="471">
        <v>5311</v>
      </c>
      <c r="B1807" s="474" t="s">
        <v>1217</v>
      </c>
      <c r="C1807" s="473">
        <v>197</v>
      </c>
      <c r="D1807" s="478">
        <v>2299</v>
      </c>
      <c r="E1807" s="474">
        <v>38870</v>
      </c>
      <c r="F1807" s="475" t="s">
        <v>446</v>
      </c>
      <c r="G1807" s="476">
        <v>55</v>
      </c>
      <c r="H1807" s="475" t="s">
        <v>1255</v>
      </c>
      <c r="I1807" s="487" t="s">
        <v>1256</v>
      </c>
      <c r="J1807" s="509">
        <v>4410.25</v>
      </c>
    </row>
    <row r="1808" spans="1:10" ht="20.25" customHeight="1">
      <c r="A1808" s="471">
        <v>5311</v>
      </c>
      <c r="B1808" s="474" t="s">
        <v>1217</v>
      </c>
      <c r="C1808" s="473">
        <v>124</v>
      </c>
      <c r="D1808" s="478">
        <v>2299</v>
      </c>
      <c r="E1808" s="474">
        <v>38870</v>
      </c>
      <c r="F1808" s="475" t="s">
        <v>446</v>
      </c>
      <c r="G1808" s="476">
        <v>62</v>
      </c>
      <c r="H1808" s="475" t="s">
        <v>1257</v>
      </c>
      <c r="I1808" s="487" t="s">
        <v>1258</v>
      </c>
      <c r="J1808" s="510">
        <v>343.85</v>
      </c>
    </row>
    <row r="1809" spans="1:10" ht="20.25" customHeight="1">
      <c r="A1809" s="471">
        <v>5311</v>
      </c>
      <c r="B1809" s="474" t="s">
        <v>1217</v>
      </c>
      <c r="C1809" s="473">
        <v>125</v>
      </c>
      <c r="D1809" s="478">
        <v>2299</v>
      </c>
      <c r="E1809" s="474">
        <v>38870</v>
      </c>
      <c r="F1809" s="475" t="s">
        <v>446</v>
      </c>
      <c r="G1809" s="476">
        <v>62</v>
      </c>
      <c r="H1809" s="475" t="s">
        <v>1257</v>
      </c>
      <c r="I1809" s="487" t="s">
        <v>1258</v>
      </c>
      <c r="J1809" s="510">
        <v>343.85</v>
      </c>
    </row>
    <row r="1810" spans="1:10" ht="20.25" customHeight="1">
      <c r="A1810" s="471">
        <v>5311</v>
      </c>
      <c r="B1810" s="474" t="s">
        <v>1217</v>
      </c>
      <c r="C1810" s="473">
        <v>126</v>
      </c>
      <c r="D1810" s="478">
        <v>2299</v>
      </c>
      <c r="E1810" s="474">
        <v>38870</v>
      </c>
      <c r="F1810" s="475" t="s">
        <v>446</v>
      </c>
      <c r="G1810" s="476">
        <v>62</v>
      </c>
      <c r="H1810" s="475" t="s">
        <v>1257</v>
      </c>
      <c r="I1810" s="487" t="s">
        <v>1258</v>
      </c>
      <c r="J1810" s="510">
        <v>343.85</v>
      </c>
    </row>
    <row r="1811" spans="1:10" ht="20.25" customHeight="1">
      <c r="A1811" s="471">
        <v>5311</v>
      </c>
      <c r="B1811" s="474" t="s">
        <v>1217</v>
      </c>
      <c r="C1811" s="473">
        <v>127</v>
      </c>
      <c r="D1811" s="478">
        <v>2299</v>
      </c>
      <c r="E1811" s="474">
        <v>38870</v>
      </c>
      <c r="F1811" s="475" t="s">
        <v>446</v>
      </c>
      <c r="G1811" s="476">
        <v>63</v>
      </c>
      <c r="H1811" s="475" t="s">
        <v>1259</v>
      </c>
      <c r="I1811" s="487" t="s">
        <v>1260</v>
      </c>
      <c r="J1811" s="510">
        <v>59.8</v>
      </c>
    </row>
    <row r="1812" spans="1:10" ht="20.25" customHeight="1">
      <c r="A1812" s="471">
        <v>5311</v>
      </c>
      <c r="B1812" s="474" t="s">
        <v>1217</v>
      </c>
      <c r="C1812" s="473">
        <v>128</v>
      </c>
      <c r="D1812" s="478">
        <v>2299</v>
      </c>
      <c r="E1812" s="474">
        <v>38870</v>
      </c>
      <c r="F1812" s="475" t="s">
        <v>446</v>
      </c>
      <c r="G1812" s="476">
        <v>63</v>
      </c>
      <c r="H1812" s="475" t="s">
        <v>1259</v>
      </c>
      <c r="I1812" s="487" t="s">
        <v>1260</v>
      </c>
      <c r="J1812" s="510">
        <v>59.8</v>
      </c>
    </row>
    <row r="1813" spans="1:10" ht="20.25" customHeight="1">
      <c r="A1813" s="471">
        <v>5311</v>
      </c>
      <c r="B1813" s="474" t="s">
        <v>1217</v>
      </c>
      <c r="C1813" s="473">
        <v>129</v>
      </c>
      <c r="D1813" s="478">
        <v>2299</v>
      </c>
      <c r="E1813" s="474">
        <v>38870</v>
      </c>
      <c r="F1813" s="475" t="s">
        <v>446</v>
      </c>
      <c r="G1813" s="476">
        <v>63</v>
      </c>
      <c r="H1813" s="475" t="s">
        <v>1259</v>
      </c>
      <c r="I1813" s="487" t="s">
        <v>1260</v>
      </c>
      <c r="J1813" s="510">
        <v>59.8</v>
      </c>
    </row>
    <row r="1814" spans="1:10" ht="20.25" customHeight="1">
      <c r="A1814" s="471">
        <v>5311</v>
      </c>
      <c r="B1814" s="474" t="s">
        <v>1217</v>
      </c>
      <c r="C1814" s="473">
        <v>130</v>
      </c>
      <c r="D1814" s="478">
        <v>2299</v>
      </c>
      <c r="E1814" s="474">
        <v>38870</v>
      </c>
      <c r="F1814" s="475" t="s">
        <v>446</v>
      </c>
      <c r="G1814" s="476">
        <v>63</v>
      </c>
      <c r="H1814" s="475" t="s">
        <v>1259</v>
      </c>
      <c r="I1814" s="487" t="s">
        <v>1260</v>
      </c>
      <c r="J1814" s="510">
        <v>59.8</v>
      </c>
    </row>
    <row r="1815" spans="1:10" ht="20.25" customHeight="1">
      <c r="A1815" s="471">
        <v>5311</v>
      </c>
      <c r="B1815" s="474" t="s">
        <v>1217</v>
      </c>
      <c r="C1815" s="473">
        <v>131</v>
      </c>
      <c r="D1815" s="478">
        <v>2299</v>
      </c>
      <c r="E1815" s="474">
        <v>38870</v>
      </c>
      <c r="F1815" s="475" t="s">
        <v>446</v>
      </c>
      <c r="G1815" s="476">
        <v>63</v>
      </c>
      <c r="H1815" s="475" t="s">
        <v>1259</v>
      </c>
      <c r="I1815" s="487" t="s">
        <v>1260</v>
      </c>
      <c r="J1815" s="510">
        <v>59.8</v>
      </c>
    </row>
    <row r="1816" spans="1:10" ht="20.25" customHeight="1">
      <c r="A1816" s="471">
        <v>5311</v>
      </c>
      <c r="B1816" s="474" t="s">
        <v>1217</v>
      </c>
      <c r="C1816" s="473">
        <v>132</v>
      </c>
      <c r="D1816" s="478">
        <v>2299</v>
      </c>
      <c r="E1816" s="474">
        <v>38870</v>
      </c>
      <c r="F1816" s="475" t="s">
        <v>446</v>
      </c>
      <c r="G1816" s="476">
        <v>64</v>
      </c>
      <c r="H1816" s="475" t="s">
        <v>1261</v>
      </c>
      <c r="I1816" s="487" t="s">
        <v>1262</v>
      </c>
      <c r="J1816" s="510">
        <f t="shared" ref="J1816:J1835" si="32">79*1.15</f>
        <v>90.85</v>
      </c>
    </row>
    <row r="1817" spans="1:10" ht="20.25" customHeight="1">
      <c r="A1817" s="471">
        <v>5311</v>
      </c>
      <c r="B1817" s="474" t="s">
        <v>1217</v>
      </c>
      <c r="C1817" s="473">
        <v>133</v>
      </c>
      <c r="D1817" s="478">
        <v>2299</v>
      </c>
      <c r="E1817" s="474">
        <v>38870</v>
      </c>
      <c r="F1817" s="475" t="s">
        <v>446</v>
      </c>
      <c r="G1817" s="476">
        <v>64</v>
      </c>
      <c r="H1817" s="475" t="s">
        <v>1261</v>
      </c>
      <c r="I1817" s="487" t="s">
        <v>1262</v>
      </c>
      <c r="J1817" s="510">
        <f t="shared" si="32"/>
        <v>90.85</v>
      </c>
    </row>
    <row r="1818" spans="1:10" ht="20.25" customHeight="1">
      <c r="A1818" s="471">
        <v>5311</v>
      </c>
      <c r="B1818" s="474" t="s">
        <v>1217</v>
      </c>
      <c r="C1818" s="473">
        <v>134</v>
      </c>
      <c r="D1818" s="478">
        <v>2299</v>
      </c>
      <c r="E1818" s="474">
        <v>38870</v>
      </c>
      <c r="F1818" s="475" t="s">
        <v>446</v>
      </c>
      <c r="G1818" s="476">
        <v>64</v>
      </c>
      <c r="H1818" s="475" t="s">
        <v>1261</v>
      </c>
      <c r="I1818" s="487" t="s">
        <v>1262</v>
      </c>
      <c r="J1818" s="510">
        <f t="shared" si="32"/>
        <v>90.85</v>
      </c>
    </row>
    <row r="1819" spans="1:10" ht="20.25" customHeight="1">
      <c r="A1819" s="471">
        <v>5311</v>
      </c>
      <c r="B1819" s="474" t="s">
        <v>1217</v>
      </c>
      <c r="C1819" s="473">
        <v>135</v>
      </c>
      <c r="D1819" s="478">
        <v>2299</v>
      </c>
      <c r="E1819" s="474">
        <v>38870</v>
      </c>
      <c r="F1819" s="475" t="s">
        <v>446</v>
      </c>
      <c r="G1819" s="476">
        <v>64</v>
      </c>
      <c r="H1819" s="475" t="s">
        <v>1261</v>
      </c>
      <c r="I1819" s="487" t="s">
        <v>1262</v>
      </c>
      <c r="J1819" s="510">
        <f t="shared" si="32"/>
        <v>90.85</v>
      </c>
    </row>
    <row r="1820" spans="1:10" ht="20.25" customHeight="1">
      <c r="A1820" s="471">
        <v>5311</v>
      </c>
      <c r="B1820" s="474" t="s">
        <v>1217</v>
      </c>
      <c r="C1820" s="473">
        <v>136</v>
      </c>
      <c r="D1820" s="478">
        <v>2299</v>
      </c>
      <c r="E1820" s="474">
        <v>38870</v>
      </c>
      <c r="F1820" s="475" t="s">
        <v>446</v>
      </c>
      <c r="G1820" s="476">
        <v>64</v>
      </c>
      <c r="H1820" s="475" t="s">
        <v>1261</v>
      </c>
      <c r="I1820" s="487" t="s">
        <v>1262</v>
      </c>
      <c r="J1820" s="510">
        <f t="shared" si="32"/>
        <v>90.85</v>
      </c>
    </row>
    <row r="1821" spans="1:10" ht="20.25" customHeight="1">
      <c r="A1821" s="471">
        <v>5311</v>
      </c>
      <c r="B1821" s="474" t="s">
        <v>1217</v>
      </c>
      <c r="C1821" s="473">
        <v>137</v>
      </c>
      <c r="D1821" s="478">
        <v>2299</v>
      </c>
      <c r="E1821" s="474">
        <v>38870</v>
      </c>
      <c r="F1821" s="475" t="s">
        <v>446</v>
      </c>
      <c r="G1821" s="476">
        <v>64</v>
      </c>
      <c r="H1821" s="475" t="s">
        <v>1261</v>
      </c>
      <c r="I1821" s="487" t="s">
        <v>1262</v>
      </c>
      <c r="J1821" s="510">
        <f t="shared" si="32"/>
        <v>90.85</v>
      </c>
    </row>
    <row r="1822" spans="1:10" ht="20.25" customHeight="1">
      <c r="A1822" s="471">
        <v>5311</v>
      </c>
      <c r="B1822" s="474" t="s">
        <v>1217</v>
      </c>
      <c r="C1822" s="473">
        <v>138</v>
      </c>
      <c r="D1822" s="478">
        <v>2299</v>
      </c>
      <c r="E1822" s="474">
        <v>38870</v>
      </c>
      <c r="F1822" s="475" t="s">
        <v>446</v>
      </c>
      <c r="G1822" s="476">
        <v>64</v>
      </c>
      <c r="H1822" s="475" t="s">
        <v>1261</v>
      </c>
      <c r="I1822" s="487" t="s">
        <v>1262</v>
      </c>
      <c r="J1822" s="510">
        <f t="shared" si="32"/>
        <v>90.85</v>
      </c>
    </row>
    <row r="1823" spans="1:10" ht="20.25" customHeight="1">
      <c r="A1823" s="471">
        <v>5311</v>
      </c>
      <c r="B1823" s="474" t="s">
        <v>1217</v>
      </c>
      <c r="C1823" s="473">
        <v>139</v>
      </c>
      <c r="D1823" s="478">
        <v>2299</v>
      </c>
      <c r="E1823" s="474">
        <v>38870</v>
      </c>
      <c r="F1823" s="475" t="s">
        <v>446</v>
      </c>
      <c r="G1823" s="476">
        <v>64</v>
      </c>
      <c r="H1823" s="475" t="s">
        <v>1261</v>
      </c>
      <c r="I1823" s="487" t="s">
        <v>1262</v>
      </c>
      <c r="J1823" s="510">
        <f t="shared" si="32"/>
        <v>90.85</v>
      </c>
    </row>
    <row r="1824" spans="1:10" ht="20.25" customHeight="1">
      <c r="A1824" s="471">
        <v>5311</v>
      </c>
      <c r="B1824" s="474" t="s">
        <v>1217</v>
      </c>
      <c r="C1824" s="473">
        <v>140</v>
      </c>
      <c r="D1824" s="478">
        <v>2299</v>
      </c>
      <c r="E1824" s="474">
        <v>38870</v>
      </c>
      <c r="F1824" s="475" t="s">
        <v>446</v>
      </c>
      <c r="G1824" s="476">
        <v>64</v>
      </c>
      <c r="H1824" s="475" t="s">
        <v>1261</v>
      </c>
      <c r="I1824" s="487" t="s">
        <v>1262</v>
      </c>
      <c r="J1824" s="510">
        <f t="shared" si="32"/>
        <v>90.85</v>
      </c>
    </row>
    <row r="1825" spans="1:10" ht="20.25" customHeight="1">
      <c r="A1825" s="471">
        <v>5311</v>
      </c>
      <c r="B1825" s="474" t="s">
        <v>1217</v>
      </c>
      <c r="C1825" s="473">
        <v>141</v>
      </c>
      <c r="D1825" s="478">
        <v>2299</v>
      </c>
      <c r="E1825" s="474">
        <v>38870</v>
      </c>
      <c r="F1825" s="475" t="s">
        <v>446</v>
      </c>
      <c r="G1825" s="476">
        <v>64</v>
      </c>
      <c r="H1825" s="475" t="s">
        <v>1261</v>
      </c>
      <c r="I1825" s="487" t="s">
        <v>1262</v>
      </c>
      <c r="J1825" s="510">
        <f t="shared" si="32"/>
        <v>90.85</v>
      </c>
    </row>
    <row r="1826" spans="1:10" ht="20.25" customHeight="1">
      <c r="A1826" s="471">
        <v>5311</v>
      </c>
      <c r="B1826" s="474" t="s">
        <v>1217</v>
      </c>
      <c r="C1826" s="473">
        <v>142</v>
      </c>
      <c r="D1826" s="478">
        <v>2299</v>
      </c>
      <c r="E1826" s="474">
        <v>38870</v>
      </c>
      <c r="F1826" s="475" t="s">
        <v>446</v>
      </c>
      <c r="G1826" s="476">
        <v>64</v>
      </c>
      <c r="H1826" s="475" t="s">
        <v>1261</v>
      </c>
      <c r="I1826" s="487" t="s">
        <v>1262</v>
      </c>
      <c r="J1826" s="510">
        <f t="shared" si="32"/>
        <v>90.85</v>
      </c>
    </row>
    <row r="1827" spans="1:10" ht="20.25" customHeight="1">
      <c r="A1827" s="471">
        <v>5311</v>
      </c>
      <c r="B1827" s="474" t="s">
        <v>1217</v>
      </c>
      <c r="C1827" s="473">
        <v>143</v>
      </c>
      <c r="D1827" s="478">
        <v>2299</v>
      </c>
      <c r="E1827" s="474">
        <v>38870</v>
      </c>
      <c r="F1827" s="475" t="s">
        <v>446</v>
      </c>
      <c r="G1827" s="476">
        <v>64</v>
      </c>
      <c r="H1827" s="475" t="s">
        <v>1261</v>
      </c>
      <c r="I1827" s="487" t="s">
        <v>1262</v>
      </c>
      <c r="J1827" s="510">
        <f t="shared" si="32"/>
        <v>90.85</v>
      </c>
    </row>
    <row r="1828" spans="1:10" ht="20.25" customHeight="1">
      <c r="A1828" s="471">
        <v>5311</v>
      </c>
      <c r="B1828" s="474" t="s">
        <v>1217</v>
      </c>
      <c r="C1828" s="473">
        <v>144</v>
      </c>
      <c r="D1828" s="478">
        <v>2299</v>
      </c>
      <c r="E1828" s="474">
        <v>38870</v>
      </c>
      <c r="F1828" s="475" t="s">
        <v>446</v>
      </c>
      <c r="G1828" s="476">
        <v>64</v>
      </c>
      <c r="H1828" s="475" t="s">
        <v>1261</v>
      </c>
      <c r="I1828" s="487" t="s">
        <v>1262</v>
      </c>
      <c r="J1828" s="510">
        <f t="shared" si="32"/>
        <v>90.85</v>
      </c>
    </row>
    <row r="1829" spans="1:10" ht="20.25" customHeight="1">
      <c r="A1829" s="471">
        <v>5311</v>
      </c>
      <c r="B1829" s="474" t="s">
        <v>1217</v>
      </c>
      <c r="C1829" s="473">
        <v>145</v>
      </c>
      <c r="D1829" s="478">
        <v>2299</v>
      </c>
      <c r="E1829" s="474">
        <v>38870</v>
      </c>
      <c r="F1829" s="475" t="s">
        <v>446</v>
      </c>
      <c r="G1829" s="476">
        <v>64</v>
      </c>
      <c r="H1829" s="475" t="s">
        <v>1261</v>
      </c>
      <c r="I1829" s="487" t="s">
        <v>1262</v>
      </c>
      <c r="J1829" s="510">
        <f t="shared" si="32"/>
        <v>90.85</v>
      </c>
    </row>
    <row r="1830" spans="1:10" ht="20.25" customHeight="1">
      <c r="A1830" s="471">
        <v>5311</v>
      </c>
      <c r="B1830" s="474" t="s">
        <v>1217</v>
      </c>
      <c r="C1830" s="473">
        <v>146</v>
      </c>
      <c r="D1830" s="478">
        <v>2299</v>
      </c>
      <c r="E1830" s="474">
        <v>38870</v>
      </c>
      <c r="F1830" s="475" t="s">
        <v>446</v>
      </c>
      <c r="G1830" s="476">
        <v>64</v>
      </c>
      <c r="H1830" s="475" t="s">
        <v>1261</v>
      </c>
      <c r="I1830" s="487" t="s">
        <v>1262</v>
      </c>
      <c r="J1830" s="510">
        <f t="shared" si="32"/>
        <v>90.85</v>
      </c>
    </row>
    <row r="1831" spans="1:10" ht="20.25" customHeight="1">
      <c r="A1831" s="471">
        <v>5311</v>
      </c>
      <c r="B1831" s="474" t="s">
        <v>1217</v>
      </c>
      <c r="C1831" s="473">
        <v>147</v>
      </c>
      <c r="D1831" s="478">
        <v>2299</v>
      </c>
      <c r="E1831" s="474">
        <v>38870</v>
      </c>
      <c r="F1831" s="475" t="s">
        <v>446</v>
      </c>
      <c r="G1831" s="476">
        <v>64</v>
      </c>
      <c r="H1831" s="475" t="s">
        <v>1261</v>
      </c>
      <c r="I1831" s="487" t="s">
        <v>1262</v>
      </c>
      <c r="J1831" s="510">
        <f t="shared" si="32"/>
        <v>90.85</v>
      </c>
    </row>
    <row r="1832" spans="1:10" ht="20.25" customHeight="1">
      <c r="A1832" s="471">
        <v>5311</v>
      </c>
      <c r="B1832" s="474" t="s">
        <v>1217</v>
      </c>
      <c r="C1832" s="473">
        <v>148</v>
      </c>
      <c r="D1832" s="478">
        <v>2299</v>
      </c>
      <c r="E1832" s="474">
        <v>38870</v>
      </c>
      <c r="F1832" s="475" t="s">
        <v>446</v>
      </c>
      <c r="G1832" s="476">
        <v>64</v>
      </c>
      <c r="H1832" s="475" t="s">
        <v>1261</v>
      </c>
      <c r="I1832" s="487" t="s">
        <v>1262</v>
      </c>
      <c r="J1832" s="510">
        <f t="shared" si="32"/>
        <v>90.85</v>
      </c>
    </row>
    <row r="1833" spans="1:10" ht="20.25" customHeight="1">
      <c r="A1833" s="471">
        <v>5311</v>
      </c>
      <c r="B1833" s="474" t="s">
        <v>1217</v>
      </c>
      <c r="C1833" s="473">
        <v>149</v>
      </c>
      <c r="D1833" s="478">
        <v>2299</v>
      </c>
      <c r="E1833" s="474">
        <v>38870</v>
      </c>
      <c r="F1833" s="475" t="s">
        <v>446</v>
      </c>
      <c r="G1833" s="476">
        <v>64</v>
      </c>
      <c r="H1833" s="475" t="s">
        <v>1261</v>
      </c>
      <c r="I1833" s="487" t="s">
        <v>1262</v>
      </c>
      <c r="J1833" s="510">
        <f t="shared" si="32"/>
        <v>90.85</v>
      </c>
    </row>
    <row r="1834" spans="1:10" ht="20.25" customHeight="1">
      <c r="A1834" s="471">
        <v>5311</v>
      </c>
      <c r="B1834" s="474" t="s">
        <v>1217</v>
      </c>
      <c r="C1834" s="473">
        <v>150</v>
      </c>
      <c r="D1834" s="478">
        <v>2299</v>
      </c>
      <c r="E1834" s="474">
        <v>38870</v>
      </c>
      <c r="F1834" s="475" t="s">
        <v>446</v>
      </c>
      <c r="G1834" s="476">
        <v>64</v>
      </c>
      <c r="H1834" s="475" t="s">
        <v>1261</v>
      </c>
      <c r="I1834" s="487" t="s">
        <v>1262</v>
      </c>
      <c r="J1834" s="510">
        <f t="shared" si="32"/>
        <v>90.85</v>
      </c>
    </row>
    <row r="1835" spans="1:10" ht="20.25" customHeight="1">
      <c r="A1835" s="471">
        <v>5311</v>
      </c>
      <c r="B1835" s="474" t="s">
        <v>1217</v>
      </c>
      <c r="C1835" s="473">
        <v>151</v>
      </c>
      <c r="D1835" s="478">
        <v>2299</v>
      </c>
      <c r="E1835" s="474">
        <v>38870</v>
      </c>
      <c r="F1835" s="475" t="s">
        <v>446</v>
      </c>
      <c r="G1835" s="476">
        <v>64</v>
      </c>
      <c r="H1835" s="475" t="s">
        <v>1261</v>
      </c>
      <c r="I1835" s="487" t="s">
        <v>1262</v>
      </c>
      <c r="J1835" s="510">
        <f t="shared" si="32"/>
        <v>90.85</v>
      </c>
    </row>
    <row r="1836" spans="1:10" ht="20.25" customHeight="1">
      <c r="A1836" s="471">
        <v>5311</v>
      </c>
      <c r="B1836" s="474" t="s">
        <v>1217</v>
      </c>
      <c r="C1836" s="473">
        <v>152</v>
      </c>
      <c r="D1836" s="478">
        <v>2299</v>
      </c>
      <c r="E1836" s="474">
        <v>38870</v>
      </c>
      <c r="F1836" s="475" t="s">
        <v>446</v>
      </c>
      <c r="G1836" s="476">
        <v>65</v>
      </c>
      <c r="H1836" s="475" t="s">
        <v>1263</v>
      </c>
      <c r="I1836" s="487" t="s">
        <v>1264</v>
      </c>
      <c r="J1836" s="510">
        <f t="shared" ref="J1836:J1855" si="33">60*1.15</f>
        <v>69</v>
      </c>
    </row>
    <row r="1837" spans="1:10" ht="20.25" customHeight="1">
      <c r="A1837" s="471">
        <v>5311</v>
      </c>
      <c r="B1837" s="474" t="s">
        <v>1217</v>
      </c>
      <c r="C1837" s="473">
        <v>153</v>
      </c>
      <c r="D1837" s="478">
        <v>2299</v>
      </c>
      <c r="E1837" s="474">
        <v>38870</v>
      </c>
      <c r="F1837" s="475" t="s">
        <v>446</v>
      </c>
      <c r="G1837" s="476">
        <v>65</v>
      </c>
      <c r="H1837" s="475" t="s">
        <v>1263</v>
      </c>
      <c r="I1837" s="487" t="s">
        <v>1264</v>
      </c>
      <c r="J1837" s="510">
        <f t="shared" si="33"/>
        <v>69</v>
      </c>
    </row>
    <row r="1838" spans="1:10" ht="20.25" customHeight="1">
      <c r="A1838" s="471">
        <v>5311</v>
      </c>
      <c r="B1838" s="474" t="s">
        <v>1217</v>
      </c>
      <c r="C1838" s="473">
        <v>154</v>
      </c>
      <c r="D1838" s="478">
        <v>2299</v>
      </c>
      <c r="E1838" s="474">
        <v>38870</v>
      </c>
      <c r="F1838" s="475" t="s">
        <v>446</v>
      </c>
      <c r="G1838" s="476">
        <v>65</v>
      </c>
      <c r="H1838" s="475" t="s">
        <v>1263</v>
      </c>
      <c r="I1838" s="487" t="s">
        <v>1264</v>
      </c>
      <c r="J1838" s="510">
        <f t="shared" si="33"/>
        <v>69</v>
      </c>
    </row>
    <row r="1839" spans="1:10" ht="20.25" customHeight="1">
      <c r="A1839" s="471">
        <v>5311</v>
      </c>
      <c r="B1839" s="474" t="s">
        <v>1217</v>
      </c>
      <c r="C1839" s="473">
        <v>155</v>
      </c>
      <c r="D1839" s="478">
        <v>2299</v>
      </c>
      <c r="E1839" s="474">
        <v>38870</v>
      </c>
      <c r="F1839" s="475" t="s">
        <v>446</v>
      </c>
      <c r="G1839" s="476">
        <v>65</v>
      </c>
      <c r="H1839" s="475" t="s">
        <v>1263</v>
      </c>
      <c r="I1839" s="487" t="s">
        <v>1264</v>
      </c>
      <c r="J1839" s="510">
        <f t="shared" si="33"/>
        <v>69</v>
      </c>
    </row>
    <row r="1840" spans="1:10" ht="20.25" customHeight="1">
      <c r="A1840" s="471">
        <v>5311</v>
      </c>
      <c r="B1840" s="474" t="s">
        <v>1217</v>
      </c>
      <c r="C1840" s="473">
        <v>156</v>
      </c>
      <c r="D1840" s="478">
        <v>2299</v>
      </c>
      <c r="E1840" s="474">
        <v>38870</v>
      </c>
      <c r="F1840" s="475" t="s">
        <v>446</v>
      </c>
      <c r="G1840" s="476">
        <v>65</v>
      </c>
      <c r="H1840" s="475" t="s">
        <v>1263</v>
      </c>
      <c r="I1840" s="487" t="s">
        <v>1264</v>
      </c>
      <c r="J1840" s="510">
        <f t="shared" si="33"/>
        <v>69</v>
      </c>
    </row>
    <row r="1841" spans="1:10" ht="20.25" customHeight="1">
      <c r="A1841" s="471">
        <v>5311</v>
      </c>
      <c r="B1841" s="474" t="s">
        <v>1217</v>
      </c>
      <c r="C1841" s="473">
        <v>157</v>
      </c>
      <c r="D1841" s="478">
        <v>2299</v>
      </c>
      <c r="E1841" s="474">
        <v>38870</v>
      </c>
      <c r="F1841" s="475" t="s">
        <v>446</v>
      </c>
      <c r="G1841" s="476">
        <v>65</v>
      </c>
      <c r="H1841" s="475" t="s">
        <v>1263</v>
      </c>
      <c r="I1841" s="487" t="s">
        <v>1264</v>
      </c>
      <c r="J1841" s="510">
        <f t="shared" si="33"/>
        <v>69</v>
      </c>
    </row>
    <row r="1842" spans="1:10" ht="20.25" customHeight="1">
      <c r="A1842" s="471">
        <v>5311</v>
      </c>
      <c r="B1842" s="474" t="s">
        <v>1217</v>
      </c>
      <c r="C1842" s="473">
        <v>158</v>
      </c>
      <c r="D1842" s="478">
        <v>2299</v>
      </c>
      <c r="E1842" s="474">
        <v>38870</v>
      </c>
      <c r="F1842" s="475" t="s">
        <v>446</v>
      </c>
      <c r="G1842" s="476">
        <v>65</v>
      </c>
      <c r="H1842" s="475" t="s">
        <v>1263</v>
      </c>
      <c r="I1842" s="487" t="s">
        <v>1264</v>
      </c>
      <c r="J1842" s="510">
        <f t="shared" si="33"/>
        <v>69</v>
      </c>
    </row>
    <row r="1843" spans="1:10" ht="20.25" customHeight="1">
      <c r="A1843" s="471">
        <v>5311</v>
      </c>
      <c r="B1843" s="474" t="s">
        <v>1217</v>
      </c>
      <c r="C1843" s="473">
        <v>159</v>
      </c>
      <c r="D1843" s="478">
        <v>2299</v>
      </c>
      <c r="E1843" s="474">
        <v>38870</v>
      </c>
      <c r="F1843" s="475" t="s">
        <v>446</v>
      </c>
      <c r="G1843" s="476">
        <v>65</v>
      </c>
      <c r="H1843" s="475" t="s">
        <v>1263</v>
      </c>
      <c r="I1843" s="487" t="s">
        <v>1264</v>
      </c>
      <c r="J1843" s="510">
        <f t="shared" si="33"/>
        <v>69</v>
      </c>
    </row>
    <row r="1844" spans="1:10" ht="20.25" customHeight="1">
      <c r="A1844" s="471">
        <v>5311</v>
      </c>
      <c r="B1844" s="474" t="s">
        <v>1217</v>
      </c>
      <c r="C1844" s="473">
        <v>160</v>
      </c>
      <c r="D1844" s="478">
        <v>2299</v>
      </c>
      <c r="E1844" s="474">
        <v>38870</v>
      </c>
      <c r="F1844" s="475" t="s">
        <v>446</v>
      </c>
      <c r="G1844" s="476">
        <v>65</v>
      </c>
      <c r="H1844" s="475" t="s">
        <v>1263</v>
      </c>
      <c r="I1844" s="487" t="s">
        <v>1264</v>
      </c>
      <c r="J1844" s="510">
        <f t="shared" si="33"/>
        <v>69</v>
      </c>
    </row>
    <row r="1845" spans="1:10" ht="20.25" customHeight="1">
      <c r="A1845" s="471">
        <v>5311</v>
      </c>
      <c r="B1845" s="474" t="s">
        <v>1217</v>
      </c>
      <c r="C1845" s="473">
        <v>161</v>
      </c>
      <c r="D1845" s="478">
        <v>2299</v>
      </c>
      <c r="E1845" s="474">
        <v>38870</v>
      </c>
      <c r="F1845" s="475" t="s">
        <v>446</v>
      </c>
      <c r="G1845" s="476">
        <v>65</v>
      </c>
      <c r="H1845" s="475" t="s">
        <v>1263</v>
      </c>
      <c r="I1845" s="487" t="s">
        <v>1264</v>
      </c>
      <c r="J1845" s="510">
        <f t="shared" si="33"/>
        <v>69</v>
      </c>
    </row>
    <row r="1846" spans="1:10" ht="20.25" customHeight="1">
      <c r="A1846" s="471">
        <v>5311</v>
      </c>
      <c r="B1846" s="474" t="s">
        <v>1217</v>
      </c>
      <c r="C1846" s="473">
        <v>162</v>
      </c>
      <c r="D1846" s="478">
        <v>2299</v>
      </c>
      <c r="E1846" s="474">
        <v>38870</v>
      </c>
      <c r="F1846" s="475" t="s">
        <v>446</v>
      </c>
      <c r="G1846" s="476">
        <v>65</v>
      </c>
      <c r="H1846" s="475" t="s">
        <v>1263</v>
      </c>
      <c r="I1846" s="487" t="s">
        <v>1264</v>
      </c>
      <c r="J1846" s="510">
        <f t="shared" si="33"/>
        <v>69</v>
      </c>
    </row>
    <row r="1847" spans="1:10" ht="20.25" customHeight="1">
      <c r="A1847" s="471">
        <v>5311</v>
      </c>
      <c r="B1847" s="474" t="s">
        <v>1217</v>
      </c>
      <c r="C1847" s="473">
        <v>163</v>
      </c>
      <c r="D1847" s="478">
        <v>2299</v>
      </c>
      <c r="E1847" s="474">
        <v>38870</v>
      </c>
      <c r="F1847" s="475" t="s">
        <v>446</v>
      </c>
      <c r="G1847" s="476">
        <v>65</v>
      </c>
      <c r="H1847" s="475" t="s">
        <v>1263</v>
      </c>
      <c r="I1847" s="487" t="s">
        <v>1264</v>
      </c>
      <c r="J1847" s="510">
        <f t="shared" si="33"/>
        <v>69</v>
      </c>
    </row>
    <row r="1848" spans="1:10" ht="20.25" customHeight="1">
      <c r="A1848" s="471">
        <v>5311</v>
      </c>
      <c r="B1848" s="474" t="s">
        <v>1217</v>
      </c>
      <c r="C1848" s="473">
        <v>164</v>
      </c>
      <c r="D1848" s="478">
        <v>2299</v>
      </c>
      <c r="E1848" s="474">
        <v>38870</v>
      </c>
      <c r="F1848" s="475" t="s">
        <v>446</v>
      </c>
      <c r="G1848" s="476">
        <v>65</v>
      </c>
      <c r="H1848" s="475" t="s">
        <v>1263</v>
      </c>
      <c r="I1848" s="487" t="s">
        <v>1264</v>
      </c>
      <c r="J1848" s="510">
        <f t="shared" si="33"/>
        <v>69</v>
      </c>
    </row>
    <row r="1849" spans="1:10" ht="20.25" customHeight="1">
      <c r="A1849" s="471">
        <v>5311</v>
      </c>
      <c r="B1849" s="474" t="s">
        <v>1217</v>
      </c>
      <c r="C1849" s="473">
        <v>165</v>
      </c>
      <c r="D1849" s="478">
        <v>2299</v>
      </c>
      <c r="E1849" s="474">
        <v>38870</v>
      </c>
      <c r="F1849" s="475" t="s">
        <v>446</v>
      </c>
      <c r="G1849" s="476">
        <v>65</v>
      </c>
      <c r="H1849" s="475" t="s">
        <v>1263</v>
      </c>
      <c r="I1849" s="487" t="s">
        <v>1264</v>
      </c>
      <c r="J1849" s="510">
        <f t="shared" si="33"/>
        <v>69</v>
      </c>
    </row>
    <row r="1850" spans="1:10" ht="20.25" customHeight="1">
      <c r="A1850" s="471">
        <v>5311</v>
      </c>
      <c r="B1850" s="474" t="s">
        <v>1217</v>
      </c>
      <c r="C1850" s="473">
        <v>166</v>
      </c>
      <c r="D1850" s="478">
        <v>2299</v>
      </c>
      <c r="E1850" s="474">
        <v>38870</v>
      </c>
      <c r="F1850" s="475" t="s">
        <v>446</v>
      </c>
      <c r="G1850" s="476">
        <v>65</v>
      </c>
      <c r="H1850" s="475" t="s">
        <v>1263</v>
      </c>
      <c r="I1850" s="487" t="s">
        <v>1264</v>
      </c>
      <c r="J1850" s="510">
        <f t="shared" si="33"/>
        <v>69</v>
      </c>
    </row>
    <row r="1851" spans="1:10" ht="20.25" customHeight="1">
      <c r="A1851" s="471">
        <v>5311</v>
      </c>
      <c r="B1851" s="474" t="s">
        <v>1217</v>
      </c>
      <c r="C1851" s="473">
        <v>167</v>
      </c>
      <c r="D1851" s="478">
        <v>2299</v>
      </c>
      <c r="E1851" s="474">
        <v>38870</v>
      </c>
      <c r="F1851" s="475" t="s">
        <v>446</v>
      </c>
      <c r="G1851" s="476">
        <v>65</v>
      </c>
      <c r="H1851" s="475" t="s">
        <v>1263</v>
      </c>
      <c r="I1851" s="487" t="s">
        <v>1264</v>
      </c>
      <c r="J1851" s="510">
        <f t="shared" si="33"/>
        <v>69</v>
      </c>
    </row>
    <row r="1852" spans="1:10" ht="20.25" customHeight="1">
      <c r="A1852" s="471">
        <v>5311</v>
      </c>
      <c r="B1852" s="474" t="s">
        <v>1217</v>
      </c>
      <c r="C1852" s="473">
        <v>168</v>
      </c>
      <c r="D1852" s="478">
        <v>2299</v>
      </c>
      <c r="E1852" s="474">
        <v>38870</v>
      </c>
      <c r="F1852" s="475" t="s">
        <v>446</v>
      </c>
      <c r="G1852" s="476">
        <v>65</v>
      </c>
      <c r="H1852" s="475" t="s">
        <v>1263</v>
      </c>
      <c r="I1852" s="487" t="s">
        <v>1264</v>
      </c>
      <c r="J1852" s="510">
        <f t="shared" si="33"/>
        <v>69</v>
      </c>
    </row>
    <row r="1853" spans="1:10" ht="20.25" customHeight="1">
      <c r="A1853" s="471">
        <v>5311</v>
      </c>
      <c r="B1853" s="474" t="s">
        <v>1217</v>
      </c>
      <c r="C1853" s="473">
        <v>169</v>
      </c>
      <c r="D1853" s="478">
        <v>2299</v>
      </c>
      <c r="E1853" s="474">
        <v>38870</v>
      </c>
      <c r="F1853" s="475" t="s">
        <v>446</v>
      </c>
      <c r="G1853" s="476">
        <v>65</v>
      </c>
      <c r="H1853" s="475" t="s">
        <v>1263</v>
      </c>
      <c r="I1853" s="487" t="s">
        <v>1264</v>
      </c>
      <c r="J1853" s="510">
        <f t="shared" si="33"/>
        <v>69</v>
      </c>
    </row>
    <row r="1854" spans="1:10" ht="20.25" customHeight="1">
      <c r="A1854" s="471">
        <v>5311</v>
      </c>
      <c r="B1854" s="474" t="s">
        <v>1217</v>
      </c>
      <c r="C1854" s="473">
        <v>170</v>
      </c>
      <c r="D1854" s="478">
        <v>2299</v>
      </c>
      <c r="E1854" s="474">
        <v>38870</v>
      </c>
      <c r="F1854" s="475" t="s">
        <v>446</v>
      </c>
      <c r="G1854" s="476">
        <v>65</v>
      </c>
      <c r="H1854" s="475" t="s">
        <v>1263</v>
      </c>
      <c r="I1854" s="487" t="s">
        <v>1264</v>
      </c>
      <c r="J1854" s="510">
        <f t="shared" si="33"/>
        <v>69</v>
      </c>
    </row>
    <row r="1855" spans="1:10" ht="20.25" customHeight="1">
      <c r="A1855" s="471">
        <v>5311</v>
      </c>
      <c r="B1855" s="474" t="s">
        <v>1217</v>
      </c>
      <c r="C1855" s="473">
        <v>171</v>
      </c>
      <c r="D1855" s="478">
        <v>2299</v>
      </c>
      <c r="E1855" s="474">
        <v>38870</v>
      </c>
      <c r="F1855" s="475" t="s">
        <v>446</v>
      </c>
      <c r="G1855" s="476">
        <v>65</v>
      </c>
      <c r="H1855" s="475" t="s">
        <v>1263</v>
      </c>
      <c r="I1855" s="487" t="s">
        <v>1264</v>
      </c>
      <c r="J1855" s="510">
        <f t="shared" si="33"/>
        <v>69</v>
      </c>
    </row>
    <row r="1856" spans="1:10" ht="20.25" customHeight="1">
      <c r="A1856" s="471">
        <v>5311</v>
      </c>
      <c r="B1856" s="474" t="s">
        <v>1217</v>
      </c>
      <c r="C1856" s="473">
        <v>172</v>
      </c>
      <c r="D1856" s="478">
        <v>2299</v>
      </c>
      <c r="E1856" s="474">
        <v>38870</v>
      </c>
      <c r="F1856" s="475" t="s">
        <v>446</v>
      </c>
      <c r="G1856" s="476">
        <v>66</v>
      </c>
      <c r="H1856" s="475" t="s">
        <v>1265</v>
      </c>
      <c r="I1856" s="487" t="s">
        <v>1266</v>
      </c>
      <c r="J1856" s="510">
        <f t="shared" ref="J1856:J1865" si="34">50*1.15</f>
        <v>57.499999999999993</v>
      </c>
    </row>
    <row r="1857" spans="1:10" ht="20.25" customHeight="1">
      <c r="A1857" s="471">
        <v>5311</v>
      </c>
      <c r="B1857" s="474" t="s">
        <v>1217</v>
      </c>
      <c r="C1857" s="473">
        <v>173</v>
      </c>
      <c r="D1857" s="478">
        <v>2299</v>
      </c>
      <c r="E1857" s="474">
        <v>38870</v>
      </c>
      <c r="F1857" s="475" t="s">
        <v>446</v>
      </c>
      <c r="G1857" s="476">
        <v>66</v>
      </c>
      <c r="H1857" s="475" t="s">
        <v>1265</v>
      </c>
      <c r="I1857" s="487" t="s">
        <v>1266</v>
      </c>
      <c r="J1857" s="510">
        <f t="shared" si="34"/>
        <v>57.499999999999993</v>
      </c>
    </row>
    <row r="1858" spans="1:10" ht="20.25" customHeight="1">
      <c r="A1858" s="471">
        <v>5311</v>
      </c>
      <c r="B1858" s="474" t="s">
        <v>1217</v>
      </c>
      <c r="C1858" s="473">
        <v>174</v>
      </c>
      <c r="D1858" s="478">
        <v>2299</v>
      </c>
      <c r="E1858" s="474">
        <v>38870</v>
      </c>
      <c r="F1858" s="475" t="s">
        <v>446</v>
      </c>
      <c r="G1858" s="476">
        <v>66</v>
      </c>
      <c r="H1858" s="475" t="s">
        <v>1265</v>
      </c>
      <c r="I1858" s="487" t="s">
        <v>1266</v>
      </c>
      <c r="J1858" s="510">
        <f t="shared" si="34"/>
        <v>57.499999999999993</v>
      </c>
    </row>
    <row r="1859" spans="1:10" ht="20.25" customHeight="1">
      <c r="A1859" s="471">
        <v>5311</v>
      </c>
      <c r="B1859" s="474" t="s">
        <v>1217</v>
      </c>
      <c r="C1859" s="473">
        <v>175</v>
      </c>
      <c r="D1859" s="478">
        <v>2299</v>
      </c>
      <c r="E1859" s="474">
        <v>38870</v>
      </c>
      <c r="F1859" s="475" t="s">
        <v>446</v>
      </c>
      <c r="G1859" s="476">
        <v>66</v>
      </c>
      <c r="H1859" s="475" t="s">
        <v>1265</v>
      </c>
      <c r="I1859" s="487" t="s">
        <v>1266</v>
      </c>
      <c r="J1859" s="510">
        <f t="shared" si="34"/>
        <v>57.499999999999993</v>
      </c>
    </row>
    <row r="1860" spans="1:10" ht="20.25" customHeight="1">
      <c r="A1860" s="471">
        <v>5311</v>
      </c>
      <c r="B1860" s="474" t="s">
        <v>1217</v>
      </c>
      <c r="C1860" s="473">
        <v>176</v>
      </c>
      <c r="D1860" s="478">
        <v>2299</v>
      </c>
      <c r="E1860" s="474">
        <v>38870</v>
      </c>
      <c r="F1860" s="475" t="s">
        <v>446</v>
      </c>
      <c r="G1860" s="476">
        <v>66</v>
      </c>
      <c r="H1860" s="475" t="s">
        <v>1265</v>
      </c>
      <c r="I1860" s="487" t="s">
        <v>1266</v>
      </c>
      <c r="J1860" s="510">
        <f t="shared" si="34"/>
        <v>57.499999999999993</v>
      </c>
    </row>
    <row r="1861" spans="1:10" ht="20.25" customHeight="1">
      <c r="A1861" s="471">
        <v>5311</v>
      </c>
      <c r="B1861" s="474" t="s">
        <v>1217</v>
      </c>
      <c r="C1861" s="473">
        <v>177</v>
      </c>
      <c r="D1861" s="478">
        <v>2299</v>
      </c>
      <c r="E1861" s="474">
        <v>38870</v>
      </c>
      <c r="F1861" s="475" t="s">
        <v>446</v>
      </c>
      <c r="G1861" s="476">
        <v>66</v>
      </c>
      <c r="H1861" s="475" t="s">
        <v>1265</v>
      </c>
      <c r="I1861" s="487" t="s">
        <v>1266</v>
      </c>
      <c r="J1861" s="510">
        <f t="shared" si="34"/>
        <v>57.499999999999993</v>
      </c>
    </row>
    <row r="1862" spans="1:10" ht="20.25" customHeight="1">
      <c r="A1862" s="471">
        <v>5311</v>
      </c>
      <c r="B1862" s="474" t="s">
        <v>1217</v>
      </c>
      <c r="C1862" s="473">
        <v>178</v>
      </c>
      <c r="D1862" s="478">
        <v>2299</v>
      </c>
      <c r="E1862" s="474">
        <v>38870</v>
      </c>
      <c r="F1862" s="475" t="s">
        <v>446</v>
      </c>
      <c r="G1862" s="476">
        <v>66</v>
      </c>
      <c r="H1862" s="475" t="s">
        <v>1265</v>
      </c>
      <c r="I1862" s="487" t="s">
        <v>1266</v>
      </c>
      <c r="J1862" s="510">
        <f t="shared" si="34"/>
        <v>57.499999999999993</v>
      </c>
    </row>
    <row r="1863" spans="1:10" ht="20.25" customHeight="1">
      <c r="A1863" s="471">
        <v>5311</v>
      </c>
      <c r="B1863" s="474" t="s">
        <v>1217</v>
      </c>
      <c r="C1863" s="473">
        <v>179</v>
      </c>
      <c r="D1863" s="478">
        <v>2299</v>
      </c>
      <c r="E1863" s="474">
        <v>38870</v>
      </c>
      <c r="F1863" s="475" t="s">
        <v>446</v>
      </c>
      <c r="G1863" s="476">
        <v>66</v>
      </c>
      <c r="H1863" s="475" t="s">
        <v>1265</v>
      </c>
      <c r="I1863" s="487" t="s">
        <v>1266</v>
      </c>
      <c r="J1863" s="510">
        <f t="shared" si="34"/>
        <v>57.499999999999993</v>
      </c>
    </row>
    <row r="1864" spans="1:10" ht="20.25" customHeight="1">
      <c r="A1864" s="471">
        <v>5311</v>
      </c>
      <c r="B1864" s="474" t="s">
        <v>1217</v>
      </c>
      <c r="C1864" s="473">
        <v>180</v>
      </c>
      <c r="D1864" s="478">
        <v>2299</v>
      </c>
      <c r="E1864" s="474">
        <v>38870</v>
      </c>
      <c r="F1864" s="475" t="s">
        <v>446</v>
      </c>
      <c r="G1864" s="476">
        <v>66</v>
      </c>
      <c r="H1864" s="475" t="s">
        <v>1265</v>
      </c>
      <c r="I1864" s="487" t="s">
        <v>1266</v>
      </c>
      <c r="J1864" s="510">
        <f t="shared" si="34"/>
        <v>57.499999999999993</v>
      </c>
    </row>
    <row r="1865" spans="1:10" ht="20.25" customHeight="1">
      <c r="A1865" s="471">
        <v>5311</v>
      </c>
      <c r="B1865" s="474" t="s">
        <v>1217</v>
      </c>
      <c r="C1865" s="473">
        <v>181</v>
      </c>
      <c r="D1865" s="478">
        <v>2299</v>
      </c>
      <c r="E1865" s="474">
        <v>38870</v>
      </c>
      <c r="F1865" s="475" t="s">
        <v>446</v>
      </c>
      <c r="G1865" s="476">
        <v>66</v>
      </c>
      <c r="H1865" s="475" t="s">
        <v>1265</v>
      </c>
      <c r="I1865" s="487" t="s">
        <v>1266</v>
      </c>
      <c r="J1865" s="510">
        <f t="shared" si="34"/>
        <v>57.499999999999993</v>
      </c>
    </row>
    <row r="1866" spans="1:10" ht="20.25" customHeight="1">
      <c r="A1866" s="471">
        <v>5311</v>
      </c>
      <c r="B1866" s="474" t="s">
        <v>1217</v>
      </c>
      <c r="C1866" s="473">
        <v>182</v>
      </c>
      <c r="D1866" s="478">
        <v>2299</v>
      </c>
      <c r="E1866" s="474">
        <v>38870</v>
      </c>
      <c r="F1866" s="475" t="s">
        <v>446</v>
      </c>
      <c r="G1866" s="476">
        <v>67</v>
      </c>
      <c r="H1866" s="475" t="s">
        <v>1267</v>
      </c>
      <c r="I1866" s="487" t="s">
        <v>1268</v>
      </c>
      <c r="J1866" s="510">
        <f>91*1.15</f>
        <v>104.64999999999999</v>
      </c>
    </row>
    <row r="1867" spans="1:10" ht="20.25" customHeight="1">
      <c r="A1867" s="471">
        <v>5311</v>
      </c>
      <c r="B1867" s="474" t="s">
        <v>1217</v>
      </c>
      <c r="C1867" s="473">
        <v>183</v>
      </c>
      <c r="D1867" s="478">
        <v>2299</v>
      </c>
      <c r="E1867" s="474">
        <v>38870</v>
      </c>
      <c r="F1867" s="475" t="s">
        <v>446</v>
      </c>
      <c r="G1867" s="476">
        <v>67</v>
      </c>
      <c r="H1867" s="475" t="s">
        <v>1267</v>
      </c>
      <c r="I1867" s="487" t="s">
        <v>1268</v>
      </c>
      <c r="J1867" s="510">
        <f>91*1.15</f>
        <v>104.64999999999999</v>
      </c>
    </row>
    <row r="1868" spans="1:10" ht="20.25" customHeight="1">
      <c r="A1868" s="471">
        <v>5311</v>
      </c>
      <c r="B1868" s="474" t="s">
        <v>1217</v>
      </c>
      <c r="C1868" s="473">
        <v>184</v>
      </c>
      <c r="D1868" s="478">
        <v>2299</v>
      </c>
      <c r="E1868" s="474">
        <v>38870</v>
      </c>
      <c r="F1868" s="475" t="s">
        <v>446</v>
      </c>
      <c r="G1868" s="476">
        <v>67</v>
      </c>
      <c r="H1868" s="475" t="s">
        <v>1267</v>
      </c>
      <c r="I1868" s="487" t="s">
        <v>1268</v>
      </c>
      <c r="J1868" s="510">
        <f>91*1.15</f>
        <v>104.64999999999999</v>
      </c>
    </row>
    <row r="1869" spans="1:10" ht="20.25" customHeight="1">
      <c r="A1869" s="471">
        <v>5311</v>
      </c>
      <c r="B1869" s="474" t="s">
        <v>1217</v>
      </c>
      <c r="C1869" s="473">
        <v>185</v>
      </c>
      <c r="D1869" s="478">
        <v>2299</v>
      </c>
      <c r="E1869" s="474">
        <v>38870</v>
      </c>
      <c r="F1869" s="475" t="s">
        <v>446</v>
      </c>
      <c r="G1869" s="476">
        <v>67</v>
      </c>
      <c r="H1869" s="475" t="s">
        <v>1267</v>
      </c>
      <c r="I1869" s="487" t="s">
        <v>1268</v>
      </c>
      <c r="J1869" s="510">
        <f>91*1.15</f>
        <v>104.64999999999999</v>
      </c>
    </row>
    <row r="1870" spans="1:10" ht="20.25" customHeight="1">
      <c r="A1870" s="471">
        <v>5311</v>
      </c>
      <c r="B1870" s="474" t="s">
        <v>1217</v>
      </c>
      <c r="C1870" s="473">
        <v>186</v>
      </c>
      <c r="D1870" s="478">
        <v>2299</v>
      </c>
      <c r="E1870" s="474">
        <v>38870</v>
      </c>
      <c r="F1870" s="475" t="s">
        <v>446</v>
      </c>
      <c r="G1870" s="476">
        <v>67</v>
      </c>
      <c r="H1870" s="475" t="s">
        <v>1267</v>
      </c>
      <c r="I1870" s="487" t="s">
        <v>1268</v>
      </c>
      <c r="J1870" s="510">
        <f>91*1.15</f>
        <v>104.64999999999999</v>
      </c>
    </row>
    <row r="1871" spans="1:10" ht="20.25" customHeight="1">
      <c r="A1871" s="471">
        <v>5311</v>
      </c>
      <c r="B1871" s="474" t="s">
        <v>1217</v>
      </c>
      <c r="C1871" s="473">
        <v>187</v>
      </c>
      <c r="D1871" s="478">
        <v>2299</v>
      </c>
      <c r="E1871" s="474">
        <v>38870</v>
      </c>
      <c r="F1871" s="475" t="s">
        <v>446</v>
      </c>
      <c r="G1871" s="476">
        <v>68</v>
      </c>
      <c r="H1871" s="475" t="s">
        <v>1269</v>
      </c>
      <c r="I1871" s="487" t="s">
        <v>1270</v>
      </c>
      <c r="J1871" s="510">
        <f>55*1.15</f>
        <v>63.249999999999993</v>
      </c>
    </row>
    <row r="1872" spans="1:10" ht="20.25" customHeight="1">
      <c r="A1872" s="471">
        <v>5311</v>
      </c>
      <c r="B1872" s="474" t="s">
        <v>1217</v>
      </c>
      <c r="C1872" s="473">
        <v>188</v>
      </c>
      <c r="D1872" s="478">
        <v>2299</v>
      </c>
      <c r="E1872" s="474">
        <v>38870</v>
      </c>
      <c r="F1872" s="475" t="s">
        <v>446</v>
      </c>
      <c r="G1872" s="476">
        <v>68</v>
      </c>
      <c r="H1872" s="475" t="s">
        <v>1269</v>
      </c>
      <c r="I1872" s="487" t="s">
        <v>1270</v>
      </c>
      <c r="J1872" s="510">
        <f>55*1.15</f>
        <v>63.249999999999993</v>
      </c>
    </row>
    <row r="1873" spans="1:10" ht="20.25" customHeight="1">
      <c r="A1873" s="471">
        <v>5311</v>
      </c>
      <c r="B1873" s="474" t="s">
        <v>1217</v>
      </c>
      <c r="C1873" s="473">
        <v>98</v>
      </c>
      <c r="D1873" s="478">
        <v>2271</v>
      </c>
      <c r="E1873" s="474">
        <v>38870</v>
      </c>
      <c r="F1873" s="475" t="s">
        <v>446</v>
      </c>
      <c r="G1873" s="476">
        <v>57</v>
      </c>
      <c r="H1873" s="475" t="s">
        <v>1271</v>
      </c>
      <c r="I1873" s="487" t="s">
        <v>1272</v>
      </c>
      <c r="J1873" s="510">
        <v>345</v>
      </c>
    </row>
    <row r="1874" spans="1:10" ht="20.25" customHeight="1">
      <c r="A1874" s="471">
        <v>5311</v>
      </c>
      <c r="B1874" s="474" t="s">
        <v>1217</v>
      </c>
      <c r="C1874" s="473">
        <v>99</v>
      </c>
      <c r="D1874" s="478">
        <v>2271</v>
      </c>
      <c r="E1874" s="474">
        <v>38870</v>
      </c>
      <c r="F1874" s="475" t="s">
        <v>446</v>
      </c>
      <c r="G1874" s="476">
        <v>57</v>
      </c>
      <c r="H1874" s="475" t="s">
        <v>1271</v>
      </c>
      <c r="I1874" s="487" t="s">
        <v>1272</v>
      </c>
      <c r="J1874" s="510">
        <v>345</v>
      </c>
    </row>
    <row r="1875" spans="1:10" ht="20.25" customHeight="1">
      <c r="A1875" s="471">
        <v>5311</v>
      </c>
      <c r="B1875" s="474" t="s">
        <v>1217</v>
      </c>
      <c r="C1875" s="473">
        <v>100</v>
      </c>
      <c r="D1875" s="478">
        <v>2271</v>
      </c>
      <c r="E1875" s="474">
        <v>38870</v>
      </c>
      <c r="F1875" s="475" t="s">
        <v>446</v>
      </c>
      <c r="G1875" s="476">
        <v>57</v>
      </c>
      <c r="H1875" s="475" t="s">
        <v>1271</v>
      </c>
      <c r="I1875" s="487" t="s">
        <v>1272</v>
      </c>
      <c r="J1875" s="510">
        <v>345</v>
      </c>
    </row>
    <row r="1876" spans="1:10" ht="20.25" customHeight="1">
      <c r="A1876" s="471">
        <v>5311</v>
      </c>
      <c r="B1876" s="474" t="s">
        <v>1217</v>
      </c>
      <c r="C1876" s="473">
        <v>101</v>
      </c>
      <c r="D1876" s="478">
        <v>2271</v>
      </c>
      <c r="E1876" s="474">
        <v>38870</v>
      </c>
      <c r="F1876" s="475" t="s">
        <v>446</v>
      </c>
      <c r="G1876" s="476">
        <v>58</v>
      </c>
      <c r="H1876" s="475" t="s">
        <v>1273</v>
      </c>
      <c r="I1876" s="487" t="s">
        <v>1274</v>
      </c>
      <c r="J1876" s="510">
        <v>419.75</v>
      </c>
    </row>
    <row r="1877" spans="1:10" ht="20.25" customHeight="1">
      <c r="A1877" s="471">
        <v>5311</v>
      </c>
      <c r="B1877" s="474" t="s">
        <v>1217</v>
      </c>
      <c r="C1877" s="473">
        <v>102</v>
      </c>
      <c r="D1877" s="478">
        <v>2271</v>
      </c>
      <c r="E1877" s="474">
        <v>38870</v>
      </c>
      <c r="F1877" s="475" t="s">
        <v>446</v>
      </c>
      <c r="G1877" s="476">
        <v>58</v>
      </c>
      <c r="H1877" s="475" t="s">
        <v>1273</v>
      </c>
      <c r="I1877" s="487" t="s">
        <v>1274</v>
      </c>
      <c r="J1877" s="510">
        <v>419.75</v>
      </c>
    </row>
    <row r="1878" spans="1:10" ht="20.25" customHeight="1">
      <c r="A1878" s="471">
        <v>5311</v>
      </c>
      <c r="B1878" s="474" t="s">
        <v>1217</v>
      </c>
      <c r="C1878" s="473">
        <v>103</v>
      </c>
      <c r="D1878" s="478">
        <v>2271</v>
      </c>
      <c r="E1878" s="474">
        <v>38870</v>
      </c>
      <c r="F1878" s="475" t="s">
        <v>446</v>
      </c>
      <c r="G1878" s="476">
        <v>58</v>
      </c>
      <c r="H1878" s="475" t="s">
        <v>1273</v>
      </c>
      <c r="I1878" s="487" t="s">
        <v>1274</v>
      </c>
      <c r="J1878" s="510">
        <v>419.75</v>
      </c>
    </row>
    <row r="1879" spans="1:10" ht="20.25" customHeight="1">
      <c r="A1879" s="471">
        <v>5311</v>
      </c>
      <c r="B1879" s="474" t="s">
        <v>1217</v>
      </c>
      <c r="C1879" s="473">
        <v>104</v>
      </c>
      <c r="D1879" s="478">
        <v>2271</v>
      </c>
      <c r="E1879" s="474">
        <v>38870</v>
      </c>
      <c r="F1879" s="475" t="s">
        <v>446</v>
      </c>
      <c r="G1879" s="476">
        <v>58</v>
      </c>
      <c r="H1879" s="475" t="s">
        <v>1273</v>
      </c>
      <c r="I1879" s="487" t="s">
        <v>1274</v>
      </c>
      <c r="J1879" s="510">
        <v>419.75</v>
      </c>
    </row>
    <row r="1880" spans="1:10" ht="20.25" customHeight="1">
      <c r="A1880" s="471">
        <v>5311</v>
      </c>
      <c r="B1880" s="474" t="s">
        <v>1217</v>
      </c>
      <c r="C1880" s="473">
        <v>105</v>
      </c>
      <c r="D1880" s="478">
        <v>2271</v>
      </c>
      <c r="E1880" s="474">
        <v>38870</v>
      </c>
      <c r="F1880" s="475" t="s">
        <v>446</v>
      </c>
      <c r="G1880" s="476">
        <v>58</v>
      </c>
      <c r="H1880" s="475" t="s">
        <v>1273</v>
      </c>
      <c r="I1880" s="487" t="s">
        <v>1274</v>
      </c>
      <c r="J1880" s="510">
        <v>419.75</v>
      </c>
    </row>
    <row r="1881" spans="1:10" ht="20.25" customHeight="1">
      <c r="A1881" s="471">
        <v>5311</v>
      </c>
      <c r="B1881" s="474" t="s">
        <v>1217</v>
      </c>
      <c r="C1881" s="473">
        <v>106</v>
      </c>
      <c r="D1881" s="478">
        <v>2271</v>
      </c>
      <c r="E1881" s="474">
        <v>38870</v>
      </c>
      <c r="F1881" s="475" t="s">
        <v>446</v>
      </c>
      <c r="G1881" s="476">
        <v>59</v>
      </c>
      <c r="H1881" s="475" t="s">
        <v>1275</v>
      </c>
      <c r="I1881" s="487" t="s">
        <v>1276</v>
      </c>
      <c r="J1881" s="510">
        <f t="shared" ref="J1881:J1890" si="35">49*1.15</f>
        <v>56.349999999999994</v>
      </c>
    </row>
    <row r="1882" spans="1:10" ht="20.25" customHeight="1">
      <c r="A1882" s="471">
        <v>5311</v>
      </c>
      <c r="B1882" s="474" t="s">
        <v>1217</v>
      </c>
      <c r="C1882" s="473">
        <v>107</v>
      </c>
      <c r="D1882" s="478">
        <v>2271</v>
      </c>
      <c r="E1882" s="474">
        <v>38870</v>
      </c>
      <c r="F1882" s="475" t="s">
        <v>446</v>
      </c>
      <c r="G1882" s="476">
        <v>59</v>
      </c>
      <c r="H1882" s="475" t="s">
        <v>1275</v>
      </c>
      <c r="I1882" s="487" t="s">
        <v>1276</v>
      </c>
      <c r="J1882" s="510">
        <f t="shared" si="35"/>
        <v>56.349999999999994</v>
      </c>
    </row>
    <row r="1883" spans="1:10" ht="20.25" customHeight="1">
      <c r="A1883" s="471">
        <v>5311</v>
      </c>
      <c r="B1883" s="474" t="s">
        <v>1217</v>
      </c>
      <c r="C1883" s="473">
        <v>108</v>
      </c>
      <c r="D1883" s="478">
        <v>2271</v>
      </c>
      <c r="E1883" s="474">
        <v>38870</v>
      </c>
      <c r="F1883" s="475" t="s">
        <v>446</v>
      </c>
      <c r="G1883" s="476">
        <v>59</v>
      </c>
      <c r="H1883" s="475" t="s">
        <v>1275</v>
      </c>
      <c r="I1883" s="487" t="s">
        <v>1276</v>
      </c>
      <c r="J1883" s="510">
        <f t="shared" si="35"/>
        <v>56.349999999999994</v>
      </c>
    </row>
    <row r="1884" spans="1:10" ht="20.25" customHeight="1">
      <c r="A1884" s="471">
        <v>5311</v>
      </c>
      <c r="B1884" s="474" t="s">
        <v>1217</v>
      </c>
      <c r="C1884" s="473">
        <v>109</v>
      </c>
      <c r="D1884" s="478">
        <v>2271</v>
      </c>
      <c r="E1884" s="474">
        <v>38870</v>
      </c>
      <c r="F1884" s="475" t="s">
        <v>446</v>
      </c>
      <c r="G1884" s="476">
        <v>59</v>
      </c>
      <c r="H1884" s="475" t="s">
        <v>1275</v>
      </c>
      <c r="I1884" s="487" t="s">
        <v>1276</v>
      </c>
      <c r="J1884" s="510">
        <f t="shared" si="35"/>
        <v>56.349999999999994</v>
      </c>
    </row>
    <row r="1885" spans="1:10" ht="20.25" customHeight="1">
      <c r="A1885" s="471">
        <v>5311</v>
      </c>
      <c r="B1885" s="474" t="s">
        <v>1217</v>
      </c>
      <c r="C1885" s="473">
        <v>110</v>
      </c>
      <c r="D1885" s="478">
        <v>2271</v>
      </c>
      <c r="E1885" s="474">
        <v>38870</v>
      </c>
      <c r="F1885" s="475" t="s">
        <v>446</v>
      </c>
      <c r="G1885" s="476">
        <v>59</v>
      </c>
      <c r="H1885" s="475" t="s">
        <v>1275</v>
      </c>
      <c r="I1885" s="487" t="s">
        <v>1276</v>
      </c>
      <c r="J1885" s="510">
        <f t="shared" si="35"/>
        <v>56.349999999999994</v>
      </c>
    </row>
    <row r="1886" spans="1:10" ht="20.25" customHeight="1">
      <c r="A1886" s="471">
        <v>5311</v>
      </c>
      <c r="B1886" s="474" t="s">
        <v>1217</v>
      </c>
      <c r="C1886" s="473">
        <v>111</v>
      </c>
      <c r="D1886" s="478">
        <v>2271</v>
      </c>
      <c r="E1886" s="474">
        <v>38870</v>
      </c>
      <c r="F1886" s="475" t="s">
        <v>446</v>
      </c>
      <c r="G1886" s="476">
        <v>59</v>
      </c>
      <c r="H1886" s="475" t="s">
        <v>1275</v>
      </c>
      <c r="I1886" s="487" t="s">
        <v>1276</v>
      </c>
      <c r="J1886" s="510">
        <f t="shared" si="35"/>
        <v>56.349999999999994</v>
      </c>
    </row>
    <row r="1887" spans="1:10" ht="20.25" customHeight="1">
      <c r="A1887" s="471">
        <v>5311</v>
      </c>
      <c r="B1887" s="474" t="s">
        <v>1217</v>
      </c>
      <c r="C1887" s="473">
        <v>112</v>
      </c>
      <c r="D1887" s="478">
        <v>2271</v>
      </c>
      <c r="E1887" s="474">
        <v>38870</v>
      </c>
      <c r="F1887" s="475" t="s">
        <v>446</v>
      </c>
      <c r="G1887" s="476">
        <v>59</v>
      </c>
      <c r="H1887" s="475" t="s">
        <v>1275</v>
      </c>
      <c r="I1887" s="487" t="s">
        <v>1276</v>
      </c>
      <c r="J1887" s="510">
        <f t="shared" si="35"/>
        <v>56.349999999999994</v>
      </c>
    </row>
    <row r="1888" spans="1:10" ht="20.25" customHeight="1">
      <c r="A1888" s="471">
        <v>5311</v>
      </c>
      <c r="B1888" s="474" t="s">
        <v>1217</v>
      </c>
      <c r="C1888" s="473">
        <v>113</v>
      </c>
      <c r="D1888" s="478">
        <v>2271</v>
      </c>
      <c r="E1888" s="474">
        <v>38870</v>
      </c>
      <c r="F1888" s="475" t="s">
        <v>446</v>
      </c>
      <c r="G1888" s="476">
        <v>59</v>
      </c>
      <c r="H1888" s="475" t="s">
        <v>1275</v>
      </c>
      <c r="I1888" s="487" t="s">
        <v>1276</v>
      </c>
      <c r="J1888" s="510">
        <f t="shared" si="35"/>
        <v>56.349999999999994</v>
      </c>
    </row>
    <row r="1889" spans="1:10" ht="20.25" customHeight="1">
      <c r="A1889" s="471">
        <v>5311</v>
      </c>
      <c r="B1889" s="474" t="s">
        <v>1217</v>
      </c>
      <c r="C1889" s="473">
        <v>114</v>
      </c>
      <c r="D1889" s="478">
        <v>2271</v>
      </c>
      <c r="E1889" s="474">
        <v>38870</v>
      </c>
      <c r="F1889" s="475" t="s">
        <v>446</v>
      </c>
      <c r="G1889" s="476">
        <v>59</v>
      </c>
      <c r="H1889" s="475" t="s">
        <v>1275</v>
      </c>
      <c r="I1889" s="487" t="s">
        <v>1276</v>
      </c>
      <c r="J1889" s="510">
        <f t="shared" si="35"/>
        <v>56.349999999999994</v>
      </c>
    </row>
    <row r="1890" spans="1:10" ht="20.25" customHeight="1">
      <c r="A1890" s="471">
        <v>5311</v>
      </c>
      <c r="B1890" s="474" t="s">
        <v>1217</v>
      </c>
      <c r="C1890" s="473">
        <v>115</v>
      </c>
      <c r="D1890" s="478">
        <v>2271</v>
      </c>
      <c r="E1890" s="474">
        <v>38870</v>
      </c>
      <c r="F1890" s="475" t="s">
        <v>446</v>
      </c>
      <c r="G1890" s="476">
        <v>59</v>
      </c>
      <c r="H1890" s="475" t="s">
        <v>1275</v>
      </c>
      <c r="I1890" s="487" t="s">
        <v>1276</v>
      </c>
      <c r="J1890" s="510">
        <f t="shared" si="35"/>
        <v>56.349999999999994</v>
      </c>
    </row>
    <row r="1891" spans="1:10" ht="20.25" customHeight="1">
      <c r="A1891" s="471">
        <v>5311</v>
      </c>
      <c r="B1891" s="474" t="s">
        <v>1217</v>
      </c>
      <c r="C1891" s="473">
        <v>116</v>
      </c>
      <c r="D1891" s="478">
        <v>2271</v>
      </c>
      <c r="E1891" s="474">
        <v>38870</v>
      </c>
      <c r="F1891" s="475" t="s">
        <v>446</v>
      </c>
      <c r="G1891" s="476">
        <v>60</v>
      </c>
      <c r="H1891" s="475" t="s">
        <v>1277</v>
      </c>
      <c r="I1891" s="487" t="s">
        <v>1278</v>
      </c>
      <c r="J1891" s="510">
        <v>100.166</v>
      </c>
    </row>
    <row r="1892" spans="1:10" ht="20.25" customHeight="1">
      <c r="A1892" s="471">
        <v>5311</v>
      </c>
      <c r="B1892" s="474" t="s">
        <v>1217</v>
      </c>
      <c r="C1892" s="473">
        <v>117</v>
      </c>
      <c r="D1892" s="478">
        <v>2271</v>
      </c>
      <c r="E1892" s="474">
        <v>38870</v>
      </c>
      <c r="F1892" s="475" t="s">
        <v>446</v>
      </c>
      <c r="G1892" s="476">
        <v>60</v>
      </c>
      <c r="H1892" s="475" t="s">
        <v>1277</v>
      </c>
      <c r="I1892" s="487" t="s">
        <v>1278</v>
      </c>
      <c r="J1892" s="510">
        <v>100.166</v>
      </c>
    </row>
    <row r="1893" spans="1:10" ht="20.25" customHeight="1">
      <c r="A1893" s="471">
        <v>5311</v>
      </c>
      <c r="B1893" s="474" t="s">
        <v>1217</v>
      </c>
      <c r="C1893" s="473">
        <v>118</v>
      </c>
      <c r="D1893" s="478">
        <v>2271</v>
      </c>
      <c r="E1893" s="474">
        <v>38870</v>
      </c>
      <c r="F1893" s="475" t="s">
        <v>446</v>
      </c>
      <c r="G1893" s="476">
        <v>60</v>
      </c>
      <c r="H1893" s="475" t="s">
        <v>1277</v>
      </c>
      <c r="I1893" s="487" t="s">
        <v>1278</v>
      </c>
      <c r="J1893" s="510">
        <v>100.166</v>
      </c>
    </row>
    <row r="1894" spans="1:10" ht="20.25" customHeight="1">
      <c r="A1894" s="471">
        <v>5311</v>
      </c>
      <c r="B1894" s="474" t="s">
        <v>1217</v>
      </c>
      <c r="C1894" s="473">
        <v>119</v>
      </c>
      <c r="D1894" s="478">
        <v>2271</v>
      </c>
      <c r="E1894" s="474">
        <v>38870</v>
      </c>
      <c r="F1894" s="475" t="s">
        <v>446</v>
      </c>
      <c r="G1894" s="476">
        <v>60</v>
      </c>
      <c r="H1894" s="475" t="s">
        <v>1277</v>
      </c>
      <c r="I1894" s="487" t="s">
        <v>1278</v>
      </c>
      <c r="J1894" s="510">
        <v>100.166</v>
      </c>
    </row>
    <row r="1895" spans="1:10" ht="20.25" customHeight="1">
      <c r="A1895" s="471">
        <v>5311</v>
      </c>
      <c r="B1895" s="474" t="s">
        <v>1217</v>
      </c>
      <c r="C1895" s="473">
        <v>120</v>
      </c>
      <c r="D1895" s="478">
        <v>2271</v>
      </c>
      <c r="E1895" s="474">
        <v>38870</v>
      </c>
      <c r="F1895" s="475" t="s">
        <v>446</v>
      </c>
      <c r="G1895" s="476">
        <v>60</v>
      </c>
      <c r="H1895" s="475" t="s">
        <v>1277</v>
      </c>
      <c r="I1895" s="487" t="s">
        <v>1278</v>
      </c>
      <c r="J1895" s="510">
        <v>100.166</v>
      </c>
    </row>
    <row r="1896" spans="1:10" ht="20.25" customHeight="1">
      <c r="A1896" s="471">
        <v>5311</v>
      </c>
      <c r="B1896" s="474" t="s">
        <v>1217</v>
      </c>
      <c r="C1896" s="473">
        <v>121</v>
      </c>
      <c r="D1896" s="478">
        <v>2271</v>
      </c>
      <c r="E1896" s="474">
        <v>38870</v>
      </c>
      <c r="F1896" s="475" t="s">
        <v>446</v>
      </c>
      <c r="G1896" s="476">
        <v>61</v>
      </c>
      <c r="H1896" s="475" t="s">
        <v>1279</v>
      </c>
      <c r="I1896" s="487" t="s">
        <v>1280</v>
      </c>
      <c r="J1896" s="510">
        <v>343.85</v>
      </c>
    </row>
    <row r="1897" spans="1:10" ht="20.25" customHeight="1">
      <c r="A1897" s="471">
        <v>5311</v>
      </c>
      <c r="B1897" s="474" t="s">
        <v>1217</v>
      </c>
      <c r="C1897" s="473">
        <v>122</v>
      </c>
      <c r="D1897" s="478">
        <v>2271</v>
      </c>
      <c r="E1897" s="474">
        <v>38870</v>
      </c>
      <c r="F1897" s="475" t="s">
        <v>446</v>
      </c>
      <c r="G1897" s="476">
        <v>61</v>
      </c>
      <c r="H1897" s="475" t="s">
        <v>1279</v>
      </c>
      <c r="I1897" s="487" t="s">
        <v>1280</v>
      </c>
      <c r="J1897" s="510">
        <v>343.85</v>
      </c>
    </row>
    <row r="1898" spans="1:10" ht="20.25" customHeight="1">
      <c r="A1898" s="471">
        <v>5311</v>
      </c>
      <c r="B1898" s="474" t="s">
        <v>1217</v>
      </c>
      <c r="C1898" s="473">
        <v>123</v>
      </c>
      <c r="D1898" s="478">
        <v>2271</v>
      </c>
      <c r="E1898" s="474">
        <v>38870</v>
      </c>
      <c r="F1898" s="475" t="s">
        <v>446</v>
      </c>
      <c r="G1898" s="476">
        <v>61</v>
      </c>
      <c r="H1898" s="475" t="s">
        <v>1279</v>
      </c>
      <c r="I1898" s="487" t="s">
        <v>1280</v>
      </c>
      <c r="J1898" s="510">
        <v>343.85</v>
      </c>
    </row>
    <row r="1899" spans="1:10" ht="20.25" customHeight="1">
      <c r="A1899" s="471">
        <v>5651</v>
      </c>
      <c r="B1899" s="474" t="s">
        <v>1217</v>
      </c>
      <c r="C1899" s="473">
        <v>2</v>
      </c>
      <c r="D1899" s="478">
        <v>2271</v>
      </c>
      <c r="E1899" s="474">
        <v>38870</v>
      </c>
      <c r="F1899" s="475" t="s">
        <v>446</v>
      </c>
      <c r="G1899" s="476">
        <v>76</v>
      </c>
      <c r="H1899" s="475" t="s">
        <v>1281</v>
      </c>
      <c r="I1899" s="487" t="s">
        <v>1282</v>
      </c>
      <c r="J1899" s="509">
        <v>586.5</v>
      </c>
    </row>
    <row r="1900" spans="1:10" ht="20.25" customHeight="1">
      <c r="A1900" s="471">
        <v>5111</v>
      </c>
      <c r="B1900" s="474" t="s">
        <v>1217</v>
      </c>
      <c r="C1900" s="473">
        <v>450</v>
      </c>
      <c r="D1900" s="478">
        <v>20523</v>
      </c>
      <c r="E1900" s="474">
        <v>38877</v>
      </c>
      <c r="F1900" s="475" t="s">
        <v>446</v>
      </c>
      <c r="G1900" s="476">
        <v>16</v>
      </c>
      <c r="H1900" s="475" t="s">
        <v>1283</v>
      </c>
      <c r="I1900" s="487" t="s">
        <v>1284</v>
      </c>
      <c r="J1900" s="509">
        <v>713</v>
      </c>
    </row>
    <row r="1901" spans="1:10" ht="20.25" customHeight="1">
      <c r="A1901" s="471">
        <v>5111</v>
      </c>
      <c r="B1901" s="474" t="s">
        <v>1217</v>
      </c>
      <c r="C1901" s="473">
        <v>451</v>
      </c>
      <c r="D1901" s="478">
        <v>20523</v>
      </c>
      <c r="E1901" s="474">
        <v>38877</v>
      </c>
      <c r="F1901" s="475" t="s">
        <v>446</v>
      </c>
      <c r="G1901" s="476">
        <v>16</v>
      </c>
      <c r="H1901" s="475" t="s">
        <v>1283</v>
      </c>
      <c r="I1901" s="487" t="s">
        <v>1284</v>
      </c>
      <c r="J1901" s="509">
        <v>713</v>
      </c>
    </row>
    <row r="1902" spans="1:10" ht="20.25" customHeight="1">
      <c r="A1902" s="471">
        <v>5111</v>
      </c>
      <c r="B1902" s="474" t="s">
        <v>1217</v>
      </c>
      <c r="C1902" s="473">
        <v>452</v>
      </c>
      <c r="D1902" s="478">
        <v>20523</v>
      </c>
      <c r="E1902" s="474">
        <v>38877</v>
      </c>
      <c r="F1902" s="475" t="s">
        <v>446</v>
      </c>
      <c r="G1902" s="476">
        <v>16</v>
      </c>
      <c r="H1902" s="475" t="s">
        <v>1283</v>
      </c>
      <c r="I1902" s="487" t="s">
        <v>1284</v>
      </c>
      <c r="J1902" s="509">
        <v>713</v>
      </c>
    </row>
    <row r="1903" spans="1:10" ht="20.25" customHeight="1">
      <c r="A1903" s="471">
        <v>5111</v>
      </c>
      <c r="B1903" s="474" t="s">
        <v>1217</v>
      </c>
      <c r="C1903" s="473">
        <v>453</v>
      </c>
      <c r="D1903" s="478">
        <v>20523</v>
      </c>
      <c r="E1903" s="474">
        <v>38877</v>
      </c>
      <c r="F1903" s="475" t="s">
        <v>446</v>
      </c>
      <c r="G1903" s="476">
        <v>16</v>
      </c>
      <c r="H1903" s="475" t="s">
        <v>1283</v>
      </c>
      <c r="I1903" s="487" t="s">
        <v>1284</v>
      </c>
      <c r="J1903" s="509">
        <v>713</v>
      </c>
    </row>
    <row r="1904" spans="1:10" ht="20.25" customHeight="1">
      <c r="A1904" s="471">
        <v>5111</v>
      </c>
      <c r="B1904" s="474" t="s">
        <v>1217</v>
      </c>
      <c r="C1904" s="473">
        <v>454</v>
      </c>
      <c r="D1904" s="478">
        <v>20523</v>
      </c>
      <c r="E1904" s="474">
        <v>38877</v>
      </c>
      <c r="F1904" s="475" t="s">
        <v>446</v>
      </c>
      <c r="G1904" s="476">
        <v>16</v>
      </c>
      <c r="H1904" s="475" t="s">
        <v>1283</v>
      </c>
      <c r="I1904" s="487" t="s">
        <v>1284</v>
      </c>
      <c r="J1904" s="509">
        <v>713</v>
      </c>
    </row>
    <row r="1905" spans="1:10" ht="20.25" customHeight="1">
      <c r="A1905" s="471">
        <v>5111</v>
      </c>
      <c r="B1905" s="474" t="s">
        <v>1217</v>
      </c>
      <c r="C1905" s="473">
        <v>455</v>
      </c>
      <c r="D1905" s="478">
        <v>20523</v>
      </c>
      <c r="E1905" s="474">
        <v>38877</v>
      </c>
      <c r="F1905" s="475" t="s">
        <v>446</v>
      </c>
      <c r="G1905" s="476">
        <v>16</v>
      </c>
      <c r="H1905" s="475" t="s">
        <v>1283</v>
      </c>
      <c r="I1905" s="487" t="s">
        <v>1284</v>
      </c>
      <c r="J1905" s="509">
        <v>713</v>
      </c>
    </row>
    <row r="1906" spans="1:10" ht="20.25" customHeight="1">
      <c r="A1906" s="471">
        <v>5111</v>
      </c>
      <c r="B1906" s="474" t="s">
        <v>1217</v>
      </c>
      <c r="C1906" s="473">
        <v>456</v>
      </c>
      <c r="D1906" s="478">
        <v>20523</v>
      </c>
      <c r="E1906" s="474">
        <v>38877</v>
      </c>
      <c r="F1906" s="475" t="s">
        <v>446</v>
      </c>
      <c r="G1906" s="476">
        <v>16</v>
      </c>
      <c r="H1906" s="475" t="s">
        <v>1283</v>
      </c>
      <c r="I1906" s="487" t="s">
        <v>1284</v>
      </c>
      <c r="J1906" s="509">
        <v>713</v>
      </c>
    </row>
    <row r="1907" spans="1:10" ht="20.25" customHeight="1">
      <c r="A1907" s="471">
        <v>5111</v>
      </c>
      <c r="B1907" s="474" t="s">
        <v>1217</v>
      </c>
      <c r="C1907" s="473">
        <v>457</v>
      </c>
      <c r="D1907" s="478">
        <v>20523</v>
      </c>
      <c r="E1907" s="474">
        <v>38877</v>
      </c>
      <c r="F1907" s="475" t="s">
        <v>446</v>
      </c>
      <c r="G1907" s="476">
        <v>16</v>
      </c>
      <c r="H1907" s="475" t="s">
        <v>1283</v>
      </c>
      <c r="I1907" s="487" t="s">
        <v>1284</v>
      </c>
      <c r="J1907" s="509">
        <v>713</v>
      </c>
    </row>
    <row r="1908" spans="1:10" ht="20.25" customHeight="1">
      <c r="A1908" s="471">
        <v>5111</v>
      </c>
      <c r="B1908" s="474" t="s">
        <v>1217</v>
      </c>
      <c r="C1908" s="473">
        <v>458</v>
      </c>
      <c r="D1908" s="478">
        <v>20523</v>
      </c>
      <c r="E1908" s="474">
        <v>38877</v>
      </c>
      <c r="F1908" s="475" t="s">
        <v>446</v>
      </c>
      <c r="G1908" s="476">
        <v>16</v>
      </c>
      <c r="H1908" s="475" t="s">
        <v>1283</v>
      </c>
      <c r="I1908" s="487" t="s">
        <v>1284</v>
      </c>
      <c r="J1908" s="509">
        <v>713</v>
      </c>
    </row>
    <row r="1909" spans="1:10" ht="20.25" customHeight="1">
      <c r="A1909" s="471">
        <v>5111</v>
      </c>
      <c r="B1909" s="474" t="s">
        <v>1217</v>
      </c>
      <c r="C1909" s="473">
        <v>459</v>
      </c>
      <c r="D1909" s="478">
        <v>20523</v>
      </c>
      <c r="E1909" s="474">
        <v>38877</v>
      </c>
      <c r="F1909" s="475" t="s">
        <v>446</v>
      </c>
      <c r="G1909" s="476">
        <v>16</v>
      </c>
      <c r="H1909" s="475" t="s">
        <v>1283</v>
      </c>
      <c r="I1909" s="487" t="s">
        <v>1284</v>
      </c>
      <c r="J1909" s="509">
        <v>713</v>
      </c>
    </row>
    <row r="1910" spans="1:10" ht="20.25" customHeight="1">
      <c r="A1910" s="471">
        <v>5111</v>
      </c>
      <c r="B1910" s="474" t="s">
        <v>1217</v>
      </c>
      <c r="C1910" s="473">
        <v>460</v>
      </c>
      <c r="D1910" s="478">
        <v>20523</v>
      </c>
      <c r="E1910" s="474">
        <v>38877</v>
      </c>
      <c r="F1910" s="475" t="s">
        <v>446</v>
      </c>
      <c r="G1910" s="476">
        <v>16</v>
      </c>
      <c r="H1910" s="475" t="s">
        <v>1283</v>
      </c>
      <c r="I1910" s="487" t="s">
        <v>1284</v>
      </c>
      <c r="J1910" s="509">
        <v>713</v>
      </c>
    </row>
    <row r="1911" spans="1:10" ht="20.25" customHeight="1">
      <c r="A1911" s="471">
        <v>5111</v>
      </c>
      <c r="B1911" s="474" t="s">
        <v>1217</v>
      </c>
      <c r="C1911" s="473">
        <v>461</v>
      </c>
      <c r="D1911" s="478">
        <v>20523</v>
      </c>
      <c r="E1911" s="474">
        <v>38877</v>
      </c>
      <c r="F1911" s="475" t="s">
        <v>446</v>
      </c>
      <c r="G1911" s="476">
        <v>16</v>
      </c>
      <c r="H1911" s="475" t="s">
        <v>1283</v>
      </c>
      <c r="I1911" s="487" t="s">
        <v>1284</v>
      </c>
      <c r="J1911" s="509">
        <v>713</v>
      </c>
    </row>
    <row r="1912" spans="1:10" ht="20.25" customHeight="1">
      <c r="A1912" s="471">
        <v>5111</v>
      </c>
      <c r="B1912" s="474" t="s">
        <v>1217</v>
      </c>
      <c r="C1912" s="473">
        <v>462</v>
      </c>
      <c r="D1912" s="478">
        <v>20523</v>
      </c>
      <c r="E1912" s="474">
        <v>38877</v>
      </c>
      <c r="F1912" s="475" t="s">
        <v>446</v>
      </c>
      <c r="G1912" s="476">
        <v>16</v>
      </c>
      <c r="H1912" s="475" t="s">
        <v>1283</v>
      </c>
      <c r="I1912" s="487" t="s">
        <v>1284</v>
      </c>
      <c r="J1912" s="509">
        <v>713</v>
      </c>
    </row>
    <row r="1913" spans="1:10" ht="20.25" customHeight="1">
      <c r="A1913" s="471">
        <v>5111</v>
      </c>
      <c r="B1913" s="474" t="s">
        <v>1217</v>
      </c>
      <c r="C1913" s="473">
        <v>463</v>
      </c>
      <c r="D1913" s="478">
        <v>20523</v>
      </c>
      <c r="E1913" s="474">
        <v>38877</v>
      </c>
      <c r="F1913" s="475" t="s">
        <v>446</v>
      </c>
      <c r="G1913" s="476">
        <v>16</v>
      </c>
      <c r="H1913" s="475" t="s">
        <v>1283</v>
      </c>
      <c r="I1913" s="487" t="s">
        <v>1284</v>
      </c>
      <c r="J1913" s="509">
        <v>713</v>
      </c>
    </row>
    <row r="1914" spans="1:10" ht="20.25" customHeight="1">
      <c r="A1914" s="471">
        <v>5111</v>
      </c>
      <c r="B1914" s="474" t="s">
        <v>1217</v>
      </c>
      <c r="C1914" s="473">
        <v>464</v>
      </c>
      <c r="D1914" s="478">
        <v>20523</v>
      </c>
      <c r="E1914" s="474">
        <v>38877</v>
      </c>
      <c r="F1914" s="475" t="s">
        <v>446</v>
      </c>
      <c r="G1914" s="476">
        <v>17</v>
      </c>
      <c r="H1914" s="475" t="s">
        <v>1285</v>
      </c>
      <c r="I1914" s="487" t="s">
        <v>1286</v>
      </c>
      <c r="J1914" s="509">
        <v>5520</v>
      </c>
    </row>
    <row r="1915" spans="1:10" ht="20.25" customHeight="1">
      <c r="A1915" s="471">
        <v>5111</v>
      </c>
      <c r="B1915" s="474" t="s">
        <v>1217</v>
      </c>
      <c r="C1915" s="473">
        <v>465</v>
      </c>
      <c r="D1915" s="478">
        <v>20523</v>
      </c>
      <c r="E1915" s="474">
        <v>38877</v>
      </c>
      <c r="F1915" s="475" t="s">
        <v>446</v>
      </c>
      <c r="G1915" s="476">
        <v>17</v>
      </c>
      <c r="H1915" s="475" t="s">
        <v>1285</v>
      </c>
      <c r="I1915" s="487" t="s">
        <v>1286</v>
      </c>
      <c r="J1915" s="509">
        <v>5520</v>
      </c>
    </row>
    <row r="1916" spans="1:10" ht="20.25" customHeight="1">
      <c r="A1916" s="471">
        <v>5111</v>
      </c>
      <c r="B1916" s="474" t="s">
        <v>1217</v>
      </c>
      <c r="C1916" s="473">
        <v>466</v>
      </c>
      <c r="D1916" s="478">
        <v>20523</v>
      </c>
      <c r="E1916" s="474">
        <v>38877</v>
      </c>
      <c r="F1916" s="475" t="s">
        <v>446</v>
      </c>
      <c r="G1916" s="476">
        <v>17</v>
      </c>
      <c r="H1916" s="475" t="s">
        <v>1285</v>
      </c>
      <c r="I1916" s="487" t="s">
        <v>1286</v>
      </c>
      <c r="J1916" s="509">
        <v>5520</v>
      </c>
    </row>
    <row r="1917" spans="1:10" ht="20.25" customHeight="1">
      <c r="A1917" s="471">
        <v>5111</v>
      </c>
      <c r="B1917" s="474" t="s">
        <v>1217</v>
      </c>
      <c r="C1917" s="473">
        <v>467</v>
      </c>
      <c r="D1917" s="478">
        <v>20523</v>
      </c>
      <c r="E1917" s="474">
        <v>38877</v>
      </c>
      <c r="F1917" s="475" t="s">
        <v>446</v>
      </c>
      <c r="G1917" s="476">
        <v>17</v>
      </c>
      <c r="H1917" s="475" t="s">
        <v>1285</v>
      </c>
      <c r="I1917" s="487" t="s">
        <v>1286</v>
      </c>
      <c r="J1917" s="509">
        <v>5520</v>
      </c>
    </row>
    <row r="1918" spans="1:10" ht="20.25" customHeight="1">
      <c r="A1918" s="471">
        <v>5111</v>
      </c>
      <c r="B1918" s="474" t="s">
        <v>1217</v>
      </c>
      <c r="C1918" s="473">
        <v>468</v>
      </c>
      <c r="D1918" s="478">
        <v>20523</v>
      </c>
      <c r="E1918" s="474">
        <v>38877</v>
      </c>
      <c r="F1918" s="475" t="s">
        <v>446</v>
      </c>
      <c r="G1918" s="476">
        <v>17</v>
      </c>
      <c r="H1918" s="475" t="s">
        <v>1285</v>
      </c>
      <c r="I1918" s="487" t="s">
        <v>1286</v>
      </c>
      <c r="J1918" s="509">
        <v>5520</v>
      </c>
    </row>
    <row r="1919" spans="1:10" ht="20.25" customHeight="1">
      <c r="A1919" s="471">
        <v>5111</v>
      </c>
      <c r="B1919" s="474" t="s">
        <v>1217</v>
      </c>
      <c r="C1919" s="473">
        <v>469</v>
      </c>
      <c r="D1919" s="478">
        <v>20523</v>
      </c>
      <c r="E1919" s="474">
        <v>38877</v>
      </c>
      <c r="F1919" s="475" t="s">
        <v>446</v>
      </c>
      <c r="G1919" s="476">
        <v>17</v>
      </c>
      <c r="H1919" s="475" t="s">
        <v>1285</v>
      </c>
      <c r="I1919" s="487" t="s">
        <v>1286</v>
      </c>
      <c r="J1919" s="509">
        <v>5520</v>
      </c>
    </row>
    <row r="1920" spans="1:10" ht="20.25" customHeight="1">
      <c r="A1920" s="471">
        <v>5111</v>
      </c>
      <c r="B1920" s="474" t="s">
        <v>1217</v>
      </c>
      <c r="C1920" s="473">
        <v>470</v>
      </c>
      <c r="D1920" s="478">
        <v>20523</v>
      </c>
      <c r="E1920" s="474">
        <v>38877</v>
      </c>
      <c r="F1920" s="475" t="s">
        <v>446</v>
      </c>
      <c r="G1920" s="476">
        <v>17</v>
      </c>
      <c r="H1920" s="475" t="s">
        <v>1285</v>
      </c>
      <c r="I1920" s="487" t="s">
        <v>1286</v>
      </c>
      <c r="J1920" s="509">
        <v>5520</v>
      </c>
    </row>
    <row r="1921" spans="1:10" ht="20.25" customHeight="1">
      <c r="A1921" s="471">
        <v>5111</v>
      </c>
      <c r="B1921" s="474" t="s">
        <v>1217</v>
      </c>
      <c r="C1921" s="473">
        <v>471</v>
      </c>
      <c r="D1921" s="478">
        <v>20523</v>
      </c>
      <c r="E1921" s="474">
        <v>38877</v>
      </c>
      <c r="F1921" s="475" t="s">
        <v>446</v>
      </c>
      <c r="G1921" s="476">
        <v>17</v>
      </c>
      <c r="H1921" s="475" t="s">
        <v>1285</v>
      </c>
      <c r="I1921" s="487" t="s">
        <v>1286</v>
      </c>
      <c r="J1921" s="509">
        <v>5520</v>
      </c>
    </row>
    <row r="1922" spans="1:10" ht="20.25" customHeight="1">
      <c r="A1922" s="471">
        <v>5151</v>
      </c>
      <c r="B1922" s="474" t="s">
        <v>1217</v>
      </c>
      <c r="C1922" s="473">
        <v>7</v>
      </c>
      <c r="D1922" s="478">
        <v>2307</v>
      </c>
      <c r="E1922" s="474">
        <v>38888</v>
      </c>
      <c r="F1922" s="475" t="s">
        <v>468</v>
      </c>
      <c r="G1922" s="476">
        <v>29</v>
      </c>
      <c r="H1922" s="475" t="s">
        <v>1287</v>
      </c>
      <c r="I1922" s="487" t="s">
        <v>1288</v>
      </c>
      <c r="J1922" s="509">
        <v>2182.6999999999998</v>
      </c>
    </row>
    <row r="1923" spans="1:10" ht="20.25" customHeight="1">
      <c r="A1923" s="471">
        <v>5151</v>
      </c>
      <c r="B1923" s="474" t="s">
        <v>1217</v>
      </c>
      <c r="C1923" s="473">
        <v>8</v>
      </c>
      <c r="D1923" s="478">
        <v>2307</v>
      </c>
      <c r="E1923" s="474">
        <v>38888</v>
      </c>
      <c r="F1923" s="475" t="s">
        <v>468</v>
      </c>
      <c r="G1923" s="476">
        <v>29</v>
      </c>
      <c r="H1923" s="475" t="s">
        <v>1287</v>
      </c>
      <c r="I1923" s="487" t="s">
        <v>1288</v>
      </c>
      <c r="J1923" s="509">
        <v>2182.6999999999998</v>
      </c>
    </row>
    <row r="1924" spans="1:10" ht="20.25" customHeight="1">
      <c r="A1924" s="471">
        <v>5191</v>
      </c>
      <c r="B1924" s="474" t="s">
        <v>1217</v>
      </c>
      <c r="C1924" s="473">
        <v>6</v>
      </c>
      <c r="D1924" s="478">
        <v>2307</v>
      </c>
      <c r="E1924" s="474">
        <v>38888</v>
      </c>
      <c r="F1924" s="475" t="s">
        <v>468</v>
      </c>
      <c r="G1924" s="476">
        <v>45</v>
      </c>
      <c r="H1924" s="475" t="s">
        <v>1289</v>
      </c>
      <c r="I1924" s="487" t="s">
        <v>1290</v>
      </c>
      <c r="J1924" s="509">
        <f>2054*1.15</f>
        <v>2362.1</v>
      </c>
    </row>
    <row r="1925" spans="1:10" ht="20.25" customHeight="1">
      <c r="A1925" s="471">
        <v>5191</v>
      </c>
      <c r="B1925" s="474" t="s">
        <v>1217</v>
      </c>
      <c r="C1925" s="473">
        <v>7</v>
      </c>
      <c r="D1925" s="478">
        <v>2307</v>
      </c>
      <c r="E1925" s="474">
        <v>38888</v>
      </c>
      <c r="F1925" s="475" t="s">
        <v>468</v>
      </c>
      <c r="G1925" s="476">
        <v>45</v>
      </c>
      <c r="H1925" s="475" t="s">
        <v>1289</v>
      </c>
      <c r="I1925" s="487" t="s">
        <v>1290</v>
      </c>
      <c r="J1925" s="509">
        <f>2054*1.15</f>
        <v>2362.1</v>
      </c>
    </row>
    <row r="1926" spans="1:10" ht="20.25" customHeight="1">
      <c r="A1926" s="471">
        <v>5191</v>
      </c>
      <c r="B1926" s="474" t="s">
        <v>1217</v>
      </c>
      <c r="C1926" s="473">
        <v>8</v>
      </c>
      <c r="D1926" s="478">
        <v>2307</v>
      </c>
      <c r="E1926" s="474">
        <v>38888</v>
      </c>
      <c r="F1926" s="475" t="s">
        <v>468</v>
      </c>
      <c r="G1926" s="476">
        <v>44</v>
      </c>
      <c r="H1926" s="475" t="s">
        <v>1291</v>
      </c>
      <c r="I1926" s="487" t="s">
        <v>1292</v>
      </c>
      <c r="J1926" s="509">
        <f>6848*1.15</f>
        <v>7875.2</v>
      </c>
    </row>
    <row r="1927" spans="1:10" ht="20.25" customHeight="1">
      <c r="A1927" s="471">
        <v>5191</v>
      </c>
      <c r="B1927" s="474" t="s">
        <v>1217</v>
      </c>
      <c r="C1927" s="473">
        <v>9</v>
      </c>
      <c r="D1927" s="478">
        <v>2307</v>
      </c>
      <c r="E1927" s="474">
        <v>38888</v>
      </c>
      <c r="F1927" s="475" t="s">
        <v>468</v>
      </c>
      <c r="G1927" s="476">
        <v>44</v>
      </c>
      <c r="H1927" s="475" t="s">
        <v>1291</v>
      </c>
      <c r="I1927" s="487" t="s">
        <v>1292</v>
      </c>
      <c r="J1927" s="509">
        <f>6848*1.15</f>
        <v>7875.2</v>
      </c>
    </row>
    <row r="1928" spans="1:10" ht="20.25" customHeight="1">
      <c r="A1928" s="471">
        <v>5191</v>
      </c>
      <c r="B1928" s="474" t="s">
        <v>1217</v>
      </c>
      <c r="C1928" s="473">
        <v>10</v>
      </c>
      <c r="D1928" s="478">
        <v>2307</v>
      </c>
      <c r="E1928" s="474">
        <v>38888</v>
      </c>
      <c r="F1928" s="475" t="s">
        <v>446</v>
      </c>
      <c r="G1928" s="476">
        <v>43</v>
      </c>
      <c r="H1928" s="475" t="s">
        <v>1293</v>
      </c>
      <c r="I1928" s="487" t="s">
        <v>1294</v>
      </c>
      <c r="J1928" s="509">
        <f>8310.7*1.15</f>
        <v>9557.3050000000003</v>
      </c>
    </row>
    <row r="1929" spans="1:10" ht="20.25" customHeight="1">
      <c r="A1929" s="471">
        <v>5111</v>
      </c>
      <c r="B1929" s="474" t="s">
        <v>1217</v>
      </c>
      <c r="C1929" s="473">
        <v>472</v>
      </c>
      <c r="D1929" s="478">
        <v>20836</v>
      </c>
      <c r="E1929" s="474">
        <v>38896</v>
      </c>
      <c r="F1929" s="475" t="s">
        <v>446</v>
      </c>
      <c r="G1929" s="476">
        <v>18</v>
      </c>
      <c r="H1929" s="475" t="s">
        <v>1295</v>
      </c>
      <c r="I1929" s="487" t="s">
        <v>1296</v>
      </c>
      <c r="J1929" s="509">
        <v>1270.75</v>
      </c>
    </row>
    <row r="1930" spans="1:10" ht="20.25" customHeight="1">
      <c r="A1930" s="471">
        <v>5111</v>
      </c>
      <c r="B1930" s="474" t="s">
        <v>1217</v>
      </c>
      <c r="C1930" s="473">
        <v>473</v>
      </c>
      <c r="D1930" s="478">
        <v>20836</v>
      </c>
      <c r="E1930" s="474">
        <v>38896</v>
      </c>
      <c r="F1930" s="475" t="s">
        <v>446</v>
      </c>
      <c r="G1930" s="476">
        <v>18</v>
      </c>
      <c r="H1930" s="475" t="s">
        <v>1295</v>
      </c>
      <c r="I1930" s="487" t="s">
        <v>1296</v>
      </c>
      <c r="J1930" s="509">
        <v>1270.75</v>
      </c>
    </row>
    <row r="1931" spans="1:10" ht="20.25" customHeight="1">
      <c r="A1931" s="471">
        <v>5111</v>
      </c>
      <c r="B1931" s="474" t="s">
        <v>1217</v>
      </c>
      <c r="C1931" s="473">
        <v>474</v>
      </c>
      <c r="D1931" s="478">
        <v>20836</v>
      </c>
      <c r="E1931" s="474">
        <v>38896</v>
      </c>
      <c r="F1931" s="475" t="s">
        <v>446</v>
      </c>
      <c r="G1931" s="476">
        <v>18</v>
      </c>
      <c r="H1931" s="475" t="s">
        <v>1295</v>
      </c>
      <c r="I1931" s="487" t="s">
        <v>1296</v>
      </c>
      <c r="J1931" s="509">
        <v>1270.75</v>
      </c>
    </row>
    <row r="1932" spans="1:10" ht="20.25" customHeight="1">
      <c r="A1932" s="471">
        <v>5111</v>
      </c>
      <c r="B1932" s="474" t="s">
        <v>1217</v>
      </c>
      <c r="C1932" s="473">
        <v>475</v>
      </c>
      <c r="D1932" s="478">
        <v>20836</v>
      </c>
      <c r="E1932" s="474">
        <v>38896</v>
      </c>
      <c r="F1932" s="475" t="s">
        <v>446</v>
      </c>
      <c r="G1932" s="476">
        <v>18</v>
      </c>
      <c r="H1932" s="475" t="s">
        <v>1295</v>
      </c>
      <c r="I1932" s="487" t="s">
        <v>1296</v>
      </c>
      <c r="J1932" s="509">
        <v>1270.75</v>
      </c>
    </row>
    <row r="1933" spans="1:10" ht="20.25" customHeight="1">
      <c r="A1933" s="471">
        <v>5111</v>
      </c>
      <c r="B1933" s="474" t="s">
        <v>1217</v>
      </c>
      <c r="C1933" s="473">
        <v>476</v>
      </c>
      <c r="D1933" s="478">
        <v>20836</v>
      </c>
      <c r="E1933" s="474">
        <v>38896</v>
      </c>
      <c r="F1933" s="475" t="s">
        <v>446</v>
      </c>
      <c r="G1933" s="476">
        <v>18</v>
      </c>
      <c r="H1933" s="475" t="s">
        <v>1295</v>
      </c>
      <c r="I1933" s="487" t="s">
        <v>1296</v>
      </c>
      <c r="J1933" s="509">
        <v>1270.75</v>
      </c>
    </row>
    <row r="1934" spans="1:10" ht="20.25" customHeight="1">
      <c r="A1934" s="471">
        <v>5111</v>
      </c>
      <c r="B1934" s="474" t="s">
        <v>1217</v>
      </c>
      <c r="C1934" s="473">
        <v>477</v>
      </c>
      <c r="D1934" s="478">
        <v>20836</v>
      </c>
      <c r="E1934" s="474">
        <v>38896</v>
      </c>
      <c r="F1934" s="475" t="s">
        <v>446</v>
      </c>
      <c r="G1934" s="476">
        <v>18</v>
      </c>
      <c r="H1934" s="475" t="s">
        <v>1295</v>
      </c>
      <c r="I1934" s="487" t="s">
        <v>1296</v>
      </c>
      <c r="J1934" s="509">
        <v>1270.75</v>
      </c>
    </row>
    <row r="1935" spans="1:10" ht="20.25" customHeight="1">
      <c r="A1935" s="471">
        <v>5111</v>
      </c>
      <c r="B1935" s="474" t="s">
        <v>1217</v>
      </c>
      <c r="C1935" s="473">
        <v>478</v>
      </c>
      <c r="D1935" s="478">
        <v>20836</v>
      </c>
      <c r="E1935" s="474">
        <v>38896</v>
      </c>
      <c r="F1935" s="475" t="s">
        <v>446</v>
      </c>
      <c r="G1935" s="476">
        <v>18</v>
      </c>
      <c r="H1935" s="475" t="s">
        <v>1295</v>
      </c>
      <c r="I1935" s="487" t="s">
        <v>1296</v>
      </c>
      <c r="J1935" s="509">
        <v>1270.75</v>
      </c>
    </row>
    <row r="1936" spans="1:10" ht="20.25" customHeight="1">
      <c r="A1936" s="471">
        <v>5111</v>
      </c>
      <c r="B1936" s="474" t="s">
        <v>1217</v>
      </c>
      <c r="C1936" s="473">
        <v>479</v>
      </c>
      <c r="D1936" s="478">
        <v>20836</v>
      </c>
      <c r="E1936" s="474">
        <v>38896</v>
      </c>
      <c r="F1936" s="475" t="s">
        <v>446</v>
      </c>
      <c r="G1936" s="476">
        <v>18</v>
      </c>
      <c r="H1936" s="475" t="s">
        <v>1295</v>
      </c>
      <c r="I1936" s="487" t="s">
        <v>1296</v>
      </c>
      <c r="J1936" s="509">
        <v>1270.75</v>
      </c>
    </row>
    <row r="1937" spans="1:10" ht="20.25" customHeight="1">
      <c r="A1937" s="471">
        <v>5111</v>
      </c>
      <c r="B1937" s="474" t="s">
        <v>1217</v>
      </c>
      <c r="C1937" s="473">
        <v>480</v>
      </c>
      <c r="D1937" s="478">
        <v>20836</v>
      </c>
      <c r="E1937" s="474">
        <v>38896</v>
      </c>
      <c r="F1937" s="475" t="s">
        <v>446</v>
      </c>
      <c r="G1937" s="476">
        <v>18</v>
      </c>
      <c r="H1937" s="475" t="s">
        <v>1295</v>
      </c>
      <c r="I1937" s="487" t="s">
        <v>1296</v>
      </c>
      <c r="J1937" s="509">
        <v>1270.75</v>
      </c>
    </row>
    <row r="1938" spans="1:10" ht="20.25" customHeight="1">
      <c r="A1938" s="471">
        <v>5111</v>
      </c>
      <c r="B1938" s="474" t="s">
        <v>1217</v>
      </c>
      <c r="C1938" s="473">
        <v>481</v>
      </c>
      <c r="D1938" s="478">
        <v>20836</v>
      </c>
      <c r="E1938" s="474">
        <v>38896</v>
      </c>
      <c r="F1938" s="475" t="s">
        <v>446</v>
      </c>
      <c r="G1938" s="476">
        <v>18</v>
      </c>
      <c r="H1938" s="475" t="s">
        <v>1295</v>
      </c>
      <c r="I1938" s="487" t="s">
        <v>1296</v>
      </c>
      <c r="J1938" s="509">
        <v>1270.75</v>
      </c>
    </row>
    <row r="1939" spans="1:10" ht="20.25" customHeight="1">
      <c r="A1939" s="471">
        <v>5111</v>
      </c>
      <c r="B1939" s="474" t="s">
        <v>1217</v>
      </c>
      <c r="C1939" s="473">
        <v>482</v>
      </c>
      <c r="D1939" s="478">
        <v>20836</v>
      </c>
      <c r="E1939" s="474">
        <v>38896</v>
      </c>
      <c r="F1939" s="475" t="s">
        <v>446</v>
      </c>
      <c r="G1939" s="476">
        <v>18</v>
      </c>
      <c r="H1939" s="475" t="s">
        <v>1295</v>
      </c>
      <c r="I1939" s="487" t="s">
        <v>1296</v>
      </c>
      <c r="J1939" s="509">
        <v>1270.75</v>
      </c>
    </row>
    <row r="1940" spans="1:10" ht="20.25" customHeight="1">
      <c r="A1940" s="471">
        <v>5111</v>
      </c>
      <c r="B1940" s="474" t="s">
        <v>1217</v>
      </c>
      <c r="C1940" s="473">
        <v>483</v>
      </c>
      <c r="D1940" s="478">
        <v>20836</v>
      </c>
      <c r="E1940" s="474">
        <v>38896</v>
      </c>
      <c r="F1940" s="475" t="s">
        <v>446</v>
      </c>
      <c r="G1940" s="476">
        <v>18</v>
      </c>
      <c r="H1940" s="475" t="s">
        <v>1295</v>
      </c>
      <c r="I1940" s="487" t="s">
        <v>1296</v>
      </c>
      <c r="J1940" s="509">
        <v>1270.75</v>
      </c>
    </row>
    <row r="1941" spans="1:10" ht="20.25" customHeight="1">
      <c r="A1941" s="471">
        <v>5111</v>
      </c>
      <c r="B1941" s="474" t="s">
        <v>1217</v>
      </c>
      <c r="C1941" s="473">
        <v>484</v>
      </c>
      <c r="D1941" s="478">
        <v>20836</v>
      </c>
      <c r="E1941" s="474">
        <v>38896</v>
      </c>
      <c r="F1941" s="475" t="s">
        <v>446</v>
      </c>
      <c r="G1941" s="476">
        <v>18</v>
      </c>
      <c r="H1941" s="475" t="s">
        <v>1295</v>
      </c>
      <c r="I1941" s="487" t="s">
        <v>1296</v>
      </c>
      <c r="J1941" s="509">
        <v>1270.75</v>
      </c>
    </row>
    <row r="1942" spans="1:10" ht="20.25" customHeight="1">
      <c r="A1942" s="471">
        <v>5111</v>
      </c>
      <c r="B1942" s="474" t="s">
        <v>1217</v>
      </c>
      <c r="C1942" s="473">
        <v>485</v>
      </c>
      <c r="D1942" s="478">
        <v>20836</v>
      </c>
      <c r="E1942" s="474">
        <v>38896</v>
      </c>
      <c r="F1942" s="475" t="s">
        <v>446</v>
      </c>
      <c r="G1942" s="476">
        <v>18</v>
      </c>
      <c r="H1942" s="475" t="s">
        <v>1295</v>
      </c>
      <c r="I1942" s="487" t="s">
        <v>1296</v>
      </c>
      <c r="J1942" s="509">
        <v>1270.75</v>
      </c>
    </row>
    <row r="1943" spans="1:10" ht="20.25" customHeight="1">
      <c r="A1943" s="471">
        <v>5111</v>
      </c>
      <c r="B1943" s="474" t="s">
        <v>1217</v>
      </c>
      <c r="C1943" s="473">
        <v>486</v>
      </c>
      <c r="D1943" s="478">
        <v>20836</v>
      </c>
      <c r="E1943" s="474">
        <v>38896</v>
      </c>
      <c r="F1943" s="475" t="s">
        <v>446</v>
      </c>
      <c r="G1943" s="476">
        <v>18</v>
      </c>
      <c r="H1943" s="475" t="s">
        <v>1295</v>
      </c>
      <c r="I1943" s="487" t="s">
        <v>1296</v>
      </c>
      <c r="J1943" s="509">
        <v>1270.75</v>
      </c>
    </row>
    <row r="1944" spans="1:10" ht="20.25" customHeight="1">
      <c r="A1944" s="471">
        <v>5111</v>
      </c>
      <c r="B1944" s="474" t="s">
        <v>1217</v>
      </c>
      <c r="C1944" s="473">
        <v>487</v>
      </c>
      <c r="D1944" s="478">
        <v>20836</v>
      </c>
      <c r="E1944" s="474">
        <v>38896</v>
      </c>
      <c r="F1944" s="475" t="s">
        <v>446</v>
      </c>
      <c r="G1944" s="476">
        <v>18</v>
      </c>
      <c r="H1944" s="475" t="s">
        <v>1295</v>
      </c>
      <c r="I1944" s="487" t="s">
        <v>1296</v>
      </c>
      <c r="J1944" s="509">
        <v>1270.75</v>
      </c>
    </row>
    <row r="1945" spans="1:10" ht="20.25" customHeight="1">
      <c r="A1945" s="471">
        <v>5111</v>
      </c>
      <c r="B1945" s="474" t="s">
        <v>1217</v>
      </c>
      <c r="C1945" s="473">
        <v>488</v>
      </c>
      <c r="D1945" s="478">
        <v>20836</v>
      </c>
      <c r="E1945" s="474">
        <v>38896</v>
      </c>
      <c r="F1945" s="475" t="s">
        <v>446</v>
      </c>
      <c r="G1945" s="476">
        <v>18</v>
      </c>
      <c r="H1945" s="475" t="s">
        <v>1295</v>
      </c>
      <c r="I1945" s="487" t="s">
        <v>1296</v>
      </c>
      <c r="J1945" s="509">
        <v>1270.75</v>
      </c>
    </row>
    <row r="1946" spans="1:10" ht="20.25" customHeight="1">
      <c r="A1946" s="471">
        <v>5111</v>
      </c>
      <c r="B1946" s="474" t="s">
        <v>1217</v>
      </c>
      <c r="C1946" s="473">
        <v>489</v>
      </c>
      <c r="D1946" s="478">
        <v>20836</v>
      </c>
      <c r="E1946" s="474">
        <v>38896</v>
      </c>
      <c r="F1946" s="475" t="s">
        <v>446</v>
      </c>
      <c r="G1946" s="476">
        <v>18</v>
      </c>
      <c r="H1946" s="475" t="s">
        <v>1295</v>
      </c>
      <c r="I1946" s="487" t="s">
        <v>1296</v>
      </c>
      <c r="J1946" s="509">
        <v>1270.75</v>
      </c>
    </row>
    <row r="1947" spans="1:10" ht="20.25" customHeight="1">
      <c r="A1947" s="471">
        <v>5111</v>
      </c>
      <c r="B1947" s="474" t="s">
        <v>1217</v>
      </c>
      <c r="C1947" s="473">
        <v>490</v>
      </c>
      <c r="D1947" s="478">
        <v>20836</v>
      </c>
      <c r="E1947" s="474">
        <v>38896</v>
      </c>
      <c r="F1947" s="475" t="s">
        <v>446</v>
      </c>
      <c r="G1947" s="476">
        <v>18</v>
      </c>
      <c r="H1947" s="475" t="s">
        <v>1295</v>
      </c>
      <c r="I1947" s="487" t="s">
        <v>1296</v>
      </c>
      <c r="J1947" s="509">
        <v>1270.75</v>
      </c>
    </row>
    <row r="1948" spans="1:10" ht="20.25" customHeight="1">
      <c r="A1948" s="471">
        <v>5111</v>
      </c>
      <c r="B1948" s="474" t="s">
        <v>1217</v>
      </c>
      <c r="C1948" s="473">
        <v>491</v>
      </c>
      <c r="D1948" s="478">
        <v>20836</v>
      </c>
      <c r="E1948" s="474">
        <v>38896</v>
      </c>
      <c r="F1948" s="475" t="s">
        <v>446</v>
      </c>
      <c r="G1948" s="476">
        <v>18</v>
      </c>
      <c r="H1948" s="475" t="s">
        <v>1295</v>
      </c>
      <c r="I1948" s="487" t="s">
        <v>1296</v>
      </c>
      <c r="J1948" s="509">
        <v>1270.75</v>
      </c>
    </row>
    <row r="1949" spans="1:10" ht="20.25" customHeight="1">
      <c r="A1949" s="471">
        <v>5151</v>
      </c>
      <c r="B1949" s="474" t="s">
        <v>1217</v>
      </c>
      <c r="C1949" s="473">
        <v>9</v>
      </c>
      <c r="D1949" s="478" t="s">
        <v>1297</v>
      </c>
      <c r="E1949" s="474">
        <v>38901</v>
      </c>
      <c r="F1949" s="475" t="s">
        <v>468</v>
      </c>
      <c r="G1949" s="476">
        <v>30</v>
      </c>
      <c r="H1949" s="475" t="s">
        <v>1298</v>
      </c>
      <c r="I1949" s="487" t="s">
        <v>1299</v>
      </c>
      <c r="J1949" s="509">
        <v>11500</v>
      </c>
    </row>
    <row r="1950" spans="1:10" ht="20.25" customHeight="1">
      <c r="A1950" s="471">
        <v>5151</v>
      </c>
      <c r="B1950" s="474" t="s">
        <v>1217</v>
      </c>
      <c r="C1950" s="473">
        <v>10</v>
      </c>
      <c r="D1950" s="478" t="s">
        <v>1297</v>
      </c>
      <c r="E1950" s="474">
        <v>38901</v>
      </c>
      <c r="F1950" s="475" t="s">
        <v>468</v>
      </c>
      <c r="G1950" s="476">
        <v>30</v>
      </c>
      <c r="H1950" s="475" t="s">
        <v>1298</v>
      </c>
      <c r="I1950" s="487" t="s">
        <v>1299</v>
      </c>
      <c r="J1950" s="509">
        <v>11500</v>
      </c>
    </row>
    <row r="1951" spans="1:10" ht="20.25" customHeight="1">
      <c r="A1951" s="471">
        <v>5151</v>
      </c>
      <c r="B1951" s="474" t="s">
        <v>1217</v>
      </c>
      <c r="C1951" s="473">
        <v>11</v>
      </c>
      <c r="D1951" s="478" t="s">
        <v>1297</v>
      </c>
      <c r="E1951" s="474">
        <v>38901</v>
      </c>
      <c r="F1951" s="475" t="s">
        <v>468</v>
      </c>
      <c r="G1951" s="476">
        <v>30</v>
      </c>
      <c r="H1951" s="475" t="s">
        <v>1298</v>
      </c>
      <c r="I1951" s="487" t="s">
        <v>1299</v>
      </c>
      <c r="J1951" s="509">
        <v>11500</v>
      </c>
    </row>
    <row r="1952" spans="1:10" ht="20.25" customHeight="1">
      <c r="A1952" s="471">
        <v>5151</v>
      </c>
      <c r="B1952" s="474" t="s">
        <v>1217</v>
      </c>
      <c r="C1952" s="473">
        <v>12</v>
      </c>
      <c r="D1952" s="478" t="s">
        <v>1297</v>
      </c>
      <c r="E1952" s="474">
        <v>38901</v>
      </c>
      <c r="F1952" s="475" t="s">
        <v>468</v>
      </c>
      <c r="G1952" s="476">
        <v>30</v>
      </c>
      <c r="H1952" s="475" t="s">
        <v>1298</v>
      </c>
      <c r="I1952" s="487" t="s">
        <v>1299</v>
      </c>
      <c r="J1952" s="509">
        <v>11500</v>
      </c>
    </row>
    <row r="1953" spans="1:10" ht="20.25" customHeight="1">
      <c r="A1953" s="471">
        <v>5151</v>
      </c>
      <c r="B1953" s="474" t="s">
        <v>1217</v>
      </c>
      <c r="C1953" s="473">
        <v>13</v>
      </c>
      <c r="D1953" s="478" t="s">
        <v>1297</v>
      </c>
      <c r="E1953" s="474">
        <v>38901</v>
      </c>
      <c r="F1953" s="475" t="s">
        <v>468</v>
      </c>
      <c r="G1953" s="476">
        <v>30</v>
      </c>
      <c r="H1953" s="475" t="s">
        <v>1298</v>
      </c>
      <c r="I1953" s="487" t="s">
        <v>1299</v>
      </c>
      <c r="J1953" s="509">
        <v>11500</v>
      </c>
    </row>
    <row r="1954" spans="1:10" ht="20.25" customHeight="1">
      <c r="A1954" s="471">
        <v>5151</v>
      </c>
      <c r="B1954" s="474" t="s">
        <v>1217</v>
      </c>
      <c r="C1954" s="473">
        <v>14</v>
      </c>
      <c r="D1954" s="478" t="s">
        <v>1297</v>
      </c>
      <c r="E1954" s="474">
        <v>38901</v>
      </c>
      <c r="F1954" s="475" t="s">
        <v>468</v>
      </c>
      <c r="G1954" s="476">
        <v>30</v>
      </c>
      <c r="H1954" s="475" t="s">
        <v>1298</v>
      </c>
      <c r="I1954" s="487" t="s">
        <v>1299</v>
      </c>
      <c r="J1954" s="509">
        <v>11500</v>
      </c>
    </row>
    <row r="1955" spans="1:10" ht="20.25" customHeight="1">
      <c r="A1955" s="471">
        <v>5151</v>
      </c>
      <c r="B1955" s="474" t="s">
        <v>1217</v>
      </c>
      <c r="C1955" s="473">
        <v>15</v>
      </c>
      <c r="D1955" s="478" t="s">
        <v>1297</v>
      </c>
      <c r="E1955" s="474">
        <v>38901</v>
      </c>
      <c r="F1955" s="475" t="s">
        <v>468</v>
      </c>
      <c r="G1955" s="476">
        <v>30</v>
      </c>
      <c r="H1955" s="475" t="s">
        <v>1298</v>
      </c>
      <c r="I1955" s="487" t="s">
        <v>1300</v>
      </c>
      <c r="J1955" s="509">
        <v>11500</v>
      </c>
    </row>
    <row r="1956" spans="1:10" ht="20.25" customHeight="1">
      <c r="A1956" s="471">
        <v>5151</v>
      </c>
      <c r="B1956" s="474" t="s">
        <v>1217</v>
      </c>
      <c r="C1956" s="473">
        <v>16</v>
      </c>
      <c r="D1956" s="478" t="s">
        <v>1297</v>
      </c>
      <c r="E1956" s="474">
        <v>38901</v>
      </c>
      <c r="F1956" s="475" t="s">
        <v>468</v>
      </c>
      <c r="G1956" s="476">
        <v>30</v>
      </c>
      <c r="H1956" s="475" t="s">
        <v>1298</v>
      </c>
      <c r="I1956" s="487" t="s">
        <v>1299</v>
      </c>
      <c r="J1956" s="509">
        <v>11500</v>
      </c>
    </row>
    <row r="1957" spans="1:10" ht="20.25" customHeight="1">
      <c r="A1957" s="471">
        <v>5151</v>
      </c>
      <c r="B1957" s="474" t="s">
        <v>1217</v>
      </c>
      <c r="C1957" s="473">
        <v>17</v>
      </c>
      <c r="D1957" s="478" t="s">
        <v>1297</v>
      </c>
      <c r="E1957" s="474">
        <v>38901</v>
      </c>
      <c r="F1957" s="475" t="s">
        <v>468</v>
      </c>
      <c r="G1957" s="476">
        <v>30</v>
      </c>
      <c r="H1957" s="475" t="s">
        <v>1298</v>
      </c>
      <c r="I1957" s="487" t="s">
        <v>1299</v>
      </c>
      <c r="J1957" s="509">
        <v>11500</v>
      </c>
    </row>
    <row r="1958" spans="1:10" ht="20.25" customHeight="1">
      <c r="A1958" s="471">
        <v>5151</v>
      </c>
      <c r="B1958" s="474" t="s">
        <v>1217</v>
      </c>
      <c r="C1958" s="473">
        <v>18</v>
      </c>
      <c r="D1958" s="478" t="s">
        <v>1297</v>
      </c>
      <c r="E1958" s="474">
        <v>38901</v>
      </c>
      <c r="F1958" s="475" t="s">
        <v>468</v>
      </c>
      <c r="G1958" s="476">
        <v>30</v>
      </c>
      <c r="H1958" s="475" t="s">
        <v>1298</v>
      </c>
      <c r="I1958" s="487" t="s">
        <v>1299</v>
      </c>
      <c r="J1958" s="509">
        <v>11500</v>
      </c>
    </row>
    <row r="1959" spans="1:10" ht="20.25" customHeight="1">
      <c r="A1959" s="471">
        <v>5151</v>
      </c>
      <c r="B1959" s="474" t="s">
        <v>1217</v>
      </c>
      <c r="C1959" s="473">
        <v>19</v>
      </c>
      <c r="D1959" s="478" t="s">
        <v>1297</v>
      </c>
      <c r="E1959" s="474">
        <v>38901</v>
      </c>
      <c r="F1959" s="475" t="s">
        <v>468</v>
      </c>
      <c r="G1959" s="476">
        <v>30</v>
      </c>
      <c r="H1959" s="475" t="s">
        <v>1298</v>
      </c>
      <c r="I1959" s="487" t="s">
        <v>1299</v>
      </c>
      <c r="J1959" s="509">
        <v>11500</v>
      </c>
    </row>
    <row r="1960" spans="1:10" ht="20.25" customHeight="1">
      <c r="A1960" s="471">
        <v>5151</v>
      </c>
      <c r="B1960" s="474" t="s">
        <v>1217</v>
      </c>
      <c r="C1960" s="473">
        <v>20</v>
      </c>
      <c r="D1960" s="478" t="s">
        <v>1297</v>
      </c>
      <c r="E1960" s="474">
        <v>38901</v>
      </c>
      <c r="F1960" s="475" t="s">
        <v>468</v>
      </c>
      <c r="G1960" s="476">
        <v>30</v>
      </c>
      <c r="H1960" s="475" t="s">
        <v>1298</v>
      </c>
      <c r="I1960" s="487" t="s">
        <v>1299</v>
      </c>
      <c r="J1960" s="509">
        <v>11500</v>
      </c>
    </row>
    <row r="1961" spans="1:10" ht="20.25" customHeight="1">
      <c r="A1961" s="471">
        <v>5151</v>
      </c>
      <c r="B1961" s="474" t="s">
        <v>1217</v>
      </c>
      <c r="C1961" s="473">
        <v>21</v>
      </c>
      <c r="D1961" s="478" t="s">
        <v>1297</v>
      </c>
      <c r="E1961" s="474">
        <v>38901</v>
      </c>
      <c r="F1961" s="475" t="s">
        <v>468</v>
      </c>
      <c r="G1961" s="476">
        <v>30</v>
      </c>
      <c r="H1961" s="475" t="s">
        <v>1298</v>
      </c>
      <c r="I1961" s="487" t="s">
        <v>1299</v>
      </c>
      <c r="J1961" s="509">
        <v>11500</v>
      </c>
    </row>
    <row r="1962" spans="1:10" ht="20.25" customHeight="1">
      <c r="A1962" s="471">
        <v>5151</v>
      </c>
      <c r="B1962" s="474" t="s">
        <v>1217</v>
      </c>
      <c r="C1962" s="473">
        <v>22</v>
      </c>
      <c r="D1962" s="478" t="s">
        <v>1297</v>
      </c>
      <c r="E1962" s="474">
        <v>38901</v>
      </c>
      <c r="F1962" s="475" t="s">
        <v>468</v>
      </c>
      <c r="G1962" s="476">
        <v>30</v>
      </c>
      <c r="H1962" s="475" t="s">
        <v>1298</v>
      </c>
      <c r="I1962" s="487" t="s">
        <v>1299</v>
      </c>
      <c r="J1962" s="509">
        <v>11500</v>
      </c>
    </row>
    <row r="1963" spans="1:10" ht="20.25" customHeight="1">
      <c r="A1963" s="471">
        <v>5151</v>
      </c>
      <c r="B1963" s="474" t="s">
        <v>1217</v>
      </c>
      <c r="C1963" s="473">
        <v>23</v>
      </c>
      <c r="D1963" s="478" t="s">
        <v>1297</v>
      </c>
      <c r="E1963" s="474">
        <v>38901</v>
      </c>
      <c r="F1963" s="475" t="s">
        <v>468</v>
      </c>
      <c r="G1963" s="476">
        <v>30</v>
      </c>
      <c r="H1963" s="475" t="s">
        <v>1298</v>
      </c>
      <c r="I1963" s="487" t="s">
        <v>1299</v>
      </c>
      <c r="J1963" s="509">
        <v>11500</v>
      </c>
    </row>
    <row r="1964" spans="1:10" ht="20.25" customHeight="1">
      <c r="A1964" s="471">
        <v>5151</v>
      </c>
      <c r="B1964" s="474" t="s">
        <v>1217</v>
      </c>
      <c r="C1964" s="473">
        <v>24</v>
      </c>
      <c r="D1964" s="478" t="s">
        <v>1297</v>
      </c>
      <c r="E1964" s="474">
        <v>38901</v>
      </c>
      <c r="F1964" s="475" t="s">
        <v>468</v>
      </c>
      <c r="G1964" s="476">
        <v>30</v>
      </c>
      <c r="H1964" s="475" t="s">
        <v>1298</v>
      </c>
      <c r="I1964" s="487" t="s">
        <v>1299</v>
      </c>
      <c r="J1964" s="509">
        <v>11500</v>
      </c>
    </row>
    <row r="1965" spans="1:10" ht="20.25" customHeight="1">
      <c r="A1965" s="471">
        <v>5151</v>
      </c>
      <c r="B1965" s="474" t="s">
        <v>1217</v>
      </c>
      <c r="C1965" s="473">
        <v>25</v>
      </c>
      <c r="D1965" s="478" t="s">
        <v>1297</v>
      </c>
      <c r="E1965" s="474">
        <v>38901</v>
      </c>
      <c r="F1965" s="475" t="s">
        <v>468</v>
      </c>
      <c r="G1965" s="476">
        <v>30</v>
      </c>
      <c r="H1965" s="475" t="s">
        <v>1298</v>
      </c>
      <c r="I1965" s="487" t="s">
        <v>1299</v>
      </c>
      <c r="J1965" s="509">
        <v>11500</v>
      </c>
    </row>
    <row r="1966" spans="1:10" ht="20.25" customHeight="1">
      <c r="A1966" s="471">
        <v>5151</v>
      </c>
      <c r="B1966" s="474" t="s">
        <v>1217</v>
      </c>
      <c r="C1966" s="473">
        <v>26</v>
      </c>
      <c r="D1966" s="478" t="s">
        <v>1297</v>
      </c>
      <c r="E1966" s="474">
        <v>38901</v>
      </c>
      <c r="F1966" s="475" t="s">
        <v>468</v>
      </c>
      <c r="G1966" s="476">
        <v>30</v>
      </c>
      <c r="H1966" s="475" t="s">
        <v>1298</v>
      </c>
      <c r="I1966" s="487" t="s">
        <v>1299</v>
      </c>
      <c r="J1966" s="509">
        <v>11500</v>
      </c>
    </row>
    <row r="1967" spans="1:10" ht="20.25" customHeight="1">
      <c r="A1967" s="471">
        <v>5151</v>
      </c>
      <c r="B1967" s="474" t="s">
        <v>1217</v>
      </c>
      <c r="C1967" s="473">
        <v>27</v>
      </c>
      <c r="D1967" s="478" t="s">
        <v>1297</v>
      </c>
      <c r="E1967" s="474">
        <v>38901</v>
      </c>
      <c r="F1967" s="475" t="s">
        <v>468</v>
      </c>
      <c r="G1967" s="476">
        <v>30</v>
      </c>
      <c r="H1967" s="475" t="s">
        <v>1298</v>
      </c>
      <c r="I1967" s="487" t="s">
        <v>1299</v>
      </c>
      <c r="J1967" s="509">
        <v>11500</v>
      </c>
    </row>
    <row r="1968" spans="1:10" ht="20.25" customHeight="1">
      <c r="A1968" s="471">
        <v>5151</v>
      </c>
      <c r="B1968" s="474" t="s">
        <v>1217</v>
      </c>
      <c r="C1968" s="473">
        <v>28</v>
      </c>
      <c r="D1968" s="478" t="s">
        <v>1297</v>
      </c>
      <c r="E1968" s="474">
        <v>38901</v>
      </c>
      <c r="F1968" s="475" t="s">
        <v>468</v>
      </c>
      <c r="G1968" s="476">
        <v>30</v>
      </c>
      <c r="H1968" s="475" t="s">
        <v>1298</v>
      </c>
      <c r="I1968" s="487" t="s">
        <v>1299</v>
      </c>
      <c r="J1968" s="509">
        <v>11500</v>
      </c>
    </row>
    <row r="1969" spans="1:10" ht="20.25" customHeight="1">
      <c r="A1969" s="471">
        <v>5151</v>
      </c>
      <c r="B1969" s="474" t="s">
        <v>1217</v>
      </c>
      <c r="C1969" s="473">
        <v>29</v>
      </c>
      <c r="D1969" s="478" t="s">
        <v>1297</v>
      </c>
      <c r="E1969" s="474">
        <v>38901</v>
      </c>
      <c r="F1969" s="475" t="s">
        <v>468</v>
      </c>
      <c r="G1969" s="476">
        <v>30</v>
      </c>
      <c r="H1969" s="475" t="s">
        <v>1298</v>
      </c>
      <c r="I1969" s="487" t="s">
        <v>1299</v>
      </c>
      <c r="J1969" s="509">
        <v>11500</v>
      </c>
    </row>
    <row r="1970" spans="1:10" ht="20.25" customHeight="1">
      <c r="A1970" s="471">
        <v>5151</v>
      </c>
      <c r="B1970" s="474" t="s">
        <v>1217</v>
      </c>
      <c r="C1970" s="473">
        <v>30</v>
      </c>
      <c r="D1970" s="478" t="s">
        <v>1297</v>
      </c>
      <c r="E1970" s="474">
        <v>38901</v>
      </c>
      <c r="F1970" s="475" t="s">
        <v>468</v>
      </c>
      <c r="G1970" s="476">
        <v>30</v>
      </c>
      <c r="H1970" s="475" t="s">
        <v>1298</v>
      </c>
      <c r="I1970" s="487" t="s">
        <v>1299</v>
      </c>
      <c r="J1970" s="509">
        <v>11500</v>
      </c>
    </row>
    <row r="1971" spans="1:10" ht="20.25" customHeight="1">
      <c r="A1971" s="471">
        <v>5151</v>
      </c>
      <c r="B1971" s="474" t="s">
        <v>1217</v>
      </c>
      <c r="C1971" s="473">
        <v>31</v>
      </c>
      <c r="D1971" s="478" t="s">
        <v>1297</v>
      </c>
      <c r="E1971" s="474">
        <v>38901</v>
      </c>
      <c r="F1971" s="475" t="s">
        <v>468</v>
      </c>
      <c r="G1971" s="476">
        <v>30</v>
      </c>
      <c r="H1971" s="475" t="s">
        <v>1298</v>
      </c>
      <c r="I1971" s="487" t="s">
        <v>1299</v>
      </c>
      <c r="J1971" s="509">
        <v>11500</v>
      </c>
    </row>
    <row r="1972" spans="1:10" ht="20.25" customHeight="1">
      <c r="A1972" s="471">
        <v>5151</v>
      </c>
      <c r="B1972" s="474" t="s">
        <v>1217</v>
      </c>
      <c r="C1972" s="473">
        <v>32</v>
      </c>
      <c r="D1972" s="478" t="s">
        <v>1297</v>
      </c>
      <c r="E1972" s="474">
        <v>38901</v>
      </c>
      <c r="F1972" s="475" t="s">
        <v>468</v>
      </c>
      <c r="G1972" s="476">
        <v>30</v>
      </c>
      <c r="H1972" s="475" t="s">
        <v>1298</v>
      </c>
      <c r="I1972" s="487" t="s">
        <v>1299</v>
      </c>
      <c r="J1972" s="509">
        <v>11500</v>
      </c>
    </row>
    <row r="1973" spans="1:10" ht="20.25" customHeight="1">
      <c r="A1973" s="471">
        <v>5151</v>
      </c>
      <c r="B1973" s="474" t="s">
        <v>1217</v>
      </c>
      <c r="C1973" s="473">
        <v>33</v>
      </c>
      <c r="D1973" s="478" t="s">
        <v>1297</v>
      </c>
      <c r="E1973" s="474">
        <v>38901</v>
      </c>
      <c r="F1973" s="475" t="s">
        <v>468</v>
      </c>
      <c r="G1973" s="476">
        <v>30</v>
      </c>
      <c r="H1973" s="475" t="s">
        <v>1298</v>
      </c>
      <c r="I1973" s="487" t="s">
        <v>1299</v>
      </c>
      <c r="J1973" s="509">
        <v>11500</v>
      </c>
    </row>
    <row r="1974" spans="1:10" ht="20.25" customHeight="1">
      <c r="A1974" s="471">
        <v>5151</v>
      </c>
      <c r="B1974" s="474" t="s">
        <v>1217</v>
      </c>
      <c r="C1974" s="473">
        <v>34</v>
      </c>
      <c r="D1974" s="478" t="s">
        <v>1297</v>
      </c>
      <c r="E1974" s="474">
        <v>38901</v>
      </c>
      <c r="F1974" s="475" t="s">
        <v>468</v>
      </c>
      <c r="G1974" s="476">
        <v>30</v>
      </c>
      <c r="H1974" s="475" t="s">
        <v>1298</v>
      </c>
      <c r="I1974" s="487" t="s">
        <v>1301</v>
      </c>
      <c r="J1974" s="509">
        <v>11500</v>
      </c>
    </row>
    <row r="1975" spans="1:10" ht="20.25" customHeight="1">
      <c r="A1975" s="471">
        <v>5151</v>
      </c>
      <c r="B1975" s="474" t="s">
        <v>1217</v>
      </c>
      <c r="C1975" s="473">
        <v>35</v>
      </c>
      <c r="D1975" s="478" t="s">
        <v>1297</v>
      </c>
      <c r="E1975" s="474">
        <v>38901</v>
      </c>
      <c r="F1975" s="475" t="s">
        <v>468</v>
      </c>
      <c r="G1975" s="476">
        <v>30</v>
      </c>
      <c r="H1975" s="475" t="s">
        <v>1298</v>
      </c>
      <c r="I1975" s="487" t="s">
        <v>1302</v>
      </c>
      <c r="J1975" s="509">
        <v>11500</v>
      </c>
    </row>
    <row r="1976" spans="1:10" ht="20.25" customHeight="1">
      <c r="A1976" s="471">
        <v>5151</v>
      </c>
      <c r="B1976" s="474" t="s">
        <v>1217</v>
      </c>
      <c r="C1976" s="473">
        <v>36</v>
      </c>
      <c r="D1976" s="478" t="s">
        <v>1297</v>
      </c>
      <c r="E1976" s="474">
        <v>38901</v>
      </c>
      <c r="F1976" s="475" t="s">
        <v>468</v>
      </c>
      <c r="G1976" s="476">
        <v>30</v>
      </c>
      <c r="H1976" s="475" t="s">
        <v>1298</v>
      </c>
      <c r="I1976" s="487" t="s">
        <v>1303</v>
      </c>
      <c r="J1976" s="509">
        <v>11500</v>
      </c>
    </row>
    <row r="1977" spans="1:10" ht="20.25" customHeight="1">
      <c r="A1977" s="471">
        <v>5151</v>
      </c>
      <c r="B1977" s="474" t="s">
        <v>1217</v>
      </c>
      <c r="C1977" s="473">
        <v>37</v>
      </c>
      <c r="D1977" s="478" t="s">
        <v>1297</v>
      </c>
      <c r="E1977" s="474">
        <v>38901</v>
      </c>
      <c r="F1977" s="475" t="s">
        <v>468</v>
      </c>
      <c r="G1977" s="476">
        <v>30</v>
      </c>
      <c r="H1977" s="475" t="s">
        <v>1298</v>
      </c>
      <c r="I1977" s="487" t="s">
        <v>1304</v>
      </c>
      <c r="J1977" s="509">
        <v>11500</v>
      </c>
    </row>
    <row r="1978" spans="1:10" ht="20.25" customHeight="1">
      <c r="A1978" s="471">
        <v>5151</v>
      </c>
      <c r="B1978" s="474" t="s">
        <v>1217</v>
      </c>
      <c r="C1978" s="473">
        <v>38</v>
      </c>
      <c r="D1978" s="478" t="s">
        <v>1297</v>
      </c>
      <c r="E1978" s="474">
        <v>38901</v>
      </c>
      <c r="F1978" s="475" t="s">
        <v>468</v>
      </c>
      <c r="G1978" s="476">
        <v>30</v>
      </c>
      <c r="H1978" s="475" t="s">
        <v>1298</v>
      </c>
      <c r="I1978" s="487" t="s">
        <v>1305</v>
      </c>
      <c r="J1978" s="509">
        <v>11500</v>
      </c>
    </row>
    <row r="1979" spans="1:10" ht="20.25" customHeight="1">
      <c r="A1979" s="471">
        <v>5151</v>
      </c>
      <c r="B1979" s="474" t="s">
        <v>1217</v>
      </c>
      <c r="C1979" s="473">
        <v>39</v>
      </c>
      <c r="D1979" s="478" t="s">
        <v>1297</v>
      </c>
      <c r="E1979" s="474">
        <v>38901</v>
      </c>
      <c r="F1979" s="475" t="s">
        <v>468</v>
      </c>
      <c r="G1979" s="476">
        <v>30</v>
      </c>
      <c r="H1979" s="475" t="s">
        <v>1298</v>
      </c>
      <c r="I1979" s="487" t="s">
        <v>1306</v>
      </c>
      <c r="J1979" s="509">
        <v>11500</v>
      </c>
    </row>
    <row r="1980" spans="1:10" ht="20.25" customHeight="1">
      <c r="A1980" s="471">
        <v>5151</v>
      </c>
      <c r="B1980" s="474" t="s">
        <v>1217</v>
      </c>
      <c r="C1980" s="473">
        <v>40</v>
      </c>
      <c r="D1980" s="478" t="s">
        <v>1297</v>
      </c>
      <c r="E1980" s="474">
        <v>38901</v>
      </c>
      <c r="F1980" s="475" t="s">
        <v>468</v>
      </c>
      <c r="G1980" s="476">
        <v>30</v>
      </c>
      <c r="H1980" s="475" t="s">
        <v>1298</v>
      </c>
      <c r="I1980" s="487" t="s">
        <v>1307</v>
      </c>
      <c r="J1980" s="509">
        <v>11500</v>
      </c>
    </row>
    <row r="1981" spans="1:10" ht="20.25" customHeight="1">
      <c r="A1981" s="471">
        <v>5151</v>
      </c>
      <c r="B1981" s="474" t="s">
        <v>1217</v>
      </c>
      <c r="C1981" s="473">
        <v>41</v>
      </c>
      <c r="D1981" s="478" t="s">
        <v>1297</v>
      </c>
      <c r="E1981" s="474">
        <v>38901</v>
      </c>
      <c r="F1981" s="475" t="s">
        <v>468</v>
      </c>
      <c r="G1981" s="476">
        <v>30</v>
      </c>
      <c r="H1981" s="475" t="s">
        <v>1298</v>
      </c>
      <c r="I1981" s="487" t="s">
        <v>1308</v>
      </c>
      <c r="J1981" s="509">
        <v>11500</v>
      </c>
    </row>
    <row r="1982" spans="1:10" ht="20.25" customHeight="1">
      <c r="A1982" s="471">
        <v>5151</v>
      </c>
      <c r="B1982" s="474" t="s">
        <v>1217</v>
      </c>
      <c r="C1982" s="473">
        <v>42</v>
      </c>
      <c r="D1982" s="478" t="s">
        <v>1297</v>
      </c>
      <c r="E1982" s="474">
        <v>38901</v>
      </c>
      <c r="F1982" s="475" t="s">
        <v>468</v>
      </c>
      <c r="G1982" s="476">
        <v>30</v>
      </c>
      <c r="H1982" s="475" t="s">
        <v>1298</v>
      </c>
      <c r="I1982" s="487" t="s">
        <v>1309</v>
      </c>
      <c r="J1982" s="509">
        <v>11500</v>
      </c>
    </row>
    <row r="1983" spans="1:10" ht="20.25" customHeight="1">
      <c r="A1983" s="471">
        <v>5151</v>
      </c>
      <c r="B1983" s="474" t="s">
        <v>1217</v>
      </c>
      <c r="C1983" s="473">
        <v>43</v>
      </c>
      <c r="D1983" s="478" t="s">
        <v>1297</v>
      </c>
      <c r="E1983" s="474">
        <v>38901</v>
      </c>
      <c r="F1983" s="475" t="s">
        <v>468</v>
      </c>
      <c r="G1983" s="476">
        <v>30</v>
      </c>
      <c r="H1983" s="475" t="s">
        <v>1298</v>
      </c>
      <c r="I1983" s="487" t="s">
        <v>1310</v>
      </c>
      <c r="J1983" s="509">
        <v>11500</v>
      </c>
    </row>
    <row r="1984" spans="1:10" ht="20.25" customHeight="1">
      <c r="A1984" s="471">
        <v>5151</v>
      </c>
      <c r="B1984" s="474" t="s">
        <v>1217</v>
      </c>
      <c r="C1984" s="473">
        <v>44</v>
      </c>
      <c r="D1984" s="478" t="s">
        <v>1297</v>
      </c>
      <c r="E1984" s="474">
        <v>38901</v>
      </c>
      <c r="F1984" s="475" t="s">
        <v>468</v>
      </c>
      <c r="G1984" s="476">
        <v>30</v>
      </c>
      <c r="H1984" s="475" t="s">
        <v>1298</v>
      </c>
      <c r="I1984" s="487" t="s">
        <v>1311</v>
      </c>
      <c r="J1984" s="509">
        <v>11500</v>
      </c>
    </row>
    <row r="1985" spans="1:10" ht="20.25" customHeight="1">
      <c r="A1985" s="471">
        <v>5151</v>
      </c>
      <c r="B1985" s="474" t="s">
        <v>1217</v>
      </c>
      <c r="C1985" s="473">
        <v>45</v>
      </c>
      <c r="D1985" s="478" t="s">
        <v>1297</v>
      </c>
      <c r="E1985" s="474">
        <v>38901</v>
      </c>
      <c r="F1985" s="475" t="s">
        <v>468</v>
      </c>
      <c r="G1985" s="476">
        <v>30</v>
      </c>
      <c r="H1985" s="475" t="s">
        <v>1298</v>
      </c>
      <c r="I1985" s="487" t="s">
        <v>1312</v>
      </c>
      <c r="J1985" s="509">
        <v>11500</v>
      </c>
    </row>
    <row r="1986" spans="1:10" ht="20.25" customHeight="1">
      <c r="A1986" s="471">
        <v>5151</v>
      </c>
      <c r="B1986" s="474" t="s">
        <v>1217</v>
      </c>
      <c r="C1986" s="473">
        <v>46</v>
      </c>
      <c r="D1986" s="478" t="s">
        <v>1297</v>
      </c>
      <c r="E1986" s="474">
        <v>38901</v>
      </c>
      <c r="F1986" s="475" t="s">
        <v>468</v>
      </c>
      <c r="G1986" s="476">
        <v>30</v>
      </c>
      <c r="H1986" s="475" t="s">
        <v>1298</v>
      </c>
      <c r="I1986" s="487" t="s">
        <v>1313</v>
      </c>
      <c r="J1986" s="509">
        <v>11500</v>
      </c>
    </row>
    <row r="1987" spans="1:10" ht="20.25" customHeight="1">
      <c r="A1987" s="471">
        <v>5151</v>
      </c>
      <c r="B1987" s="474" t="s">
        <v>1217</v>
      </c>
      <c r="C1987" s="473">
        <v>47</v>
      </c>
      <c r="D1987" s="478" t="s">
        <v>1297</v>
      </c>
      <c r="E1987" s="474">
        <v>38901</v>
      </c>
      <c r="F1987" s="475" t="s">
        <v>468</v>
      </c>
      <c r="G1987" s="476">
        <v>30</v>
      </c>
      <c r="H1987" s="475" t="s">
        <v>1298</v>
      </c>
      <c r="I1987" s="487" t="s">
        <v>1314</v>
      </c>
      <c r="J1987" s="509">
        <v>11500</v>
      </c>
    </row>
    <row r="1988" spans="1:10" ht="20.25" customHeight="1">
      <c r="A1988" s="471">
        <v>5151</v>
      </c>
      <c r="B1988" s="474" t="s">
        <v>1217</v>
      </c>
      <c r="C1988" s="473">
        <v>48</v>
      </c>
      <c r="D1988" s="478" t="s">
        <v>1297</v>
      </c>
      <c r="E1988" s="474">
        <v>38901</v>
      </c>
      <c r="F1988" s="475" t="s">
        <v>468</v>
      </c>
      <c r="G1988" s="476">
        <v>30</v>
      </c>
      <c r="H1988" s="475" t="s">
        <v>1298</v>
      </c>
      <c r="I1988" s="487" t="s">
        <v>1315</v>
      </c>
      <c r="J1988" s="509">
        <v>11500</v>
      </c>
    </row>
    <row r="1989" spans="1:10" ht="20.25" customHeight="1">
      <c r="A1989" s="471">
        <v>5151</v>
      </c>
      <c r="B1989" s="474" t="s">
        <v>1217</v>
      </c>
      <c r="C1989" s="473">
        <v>49</v>
      </c>
      <c r="D1989" s="478" t="s">
        <v>1297</v>
      </c>
      <c r="E1989" s="474">
        <v>38901</v>
      </c>
      <c r="F1989" s="475" t="s">
        <v>468</v>
      </c>
      <c r="G1989" s="476">
        <v>30</v>
      </c>
      <c r="H1989" s="475" t="s">
        <v>1298</v>
      </c>
      <c r="I1989" s="487" t="s">
        <v>1316</v>
      </c>
      <c r="J1989" s="509">
        <v>11500</v>
      </c>
    </row>
    <row r="1990" spans="1:10" ht="20.25" customHeight="1">
      <c r="A1990" s="471">
        <v>5151</v>
      </c>
      <c r="B1990" s="474" t="s">
        <v>1217</v>
      </c>
      <c r="C1990" s="473">
        <v>50</v>
      </c>
      <c r="D1990" s="478" t="s">
        <v>1297</v>
      </c>
      <c r="E1990" s="474">
        <v>38901</v>
      </c>
      <c r="F1990" s="475" t="s">
        <v>468</v>
      </c>
      <c r="G1990" s="476">
        <v>30</v>
      </c>
      <c r="H1990" s="475" t="s">
        <v>1298</v>
      </c>
      <c r="I1990" s="487" t="s">
        <v>1317</v>
      </c>
      <c r="J1990" s="509">
        <v>11500</v>
      </c>
    </row>
    <row r="1991" spans="1:10" ht="20.25" customHeight="1">
      <c r="A1991" s="471">
        <v>5151</v>
      </c>
      <c r="B1991" s="474" t="s">
        <v>1217</v>
      </c>
      <c r="C1991" s="473">
        <v>51</v>
      </c>
      <c r="D1991" s="478" t="s">
        <v>1297</v>
      </c>
      <c r="E1991" s="474">
        <v>38901</v>
      </c>
      <c r="F1991" s="475" t="s">
        <v>468</v>
      </c>
      <c r="G1991" s="476">
        <v>30</v>
      </c>
      <c r="H1991" s="475" t="s">
        <v>1298</v>
      </c>
      <c r="I1991" s="487" t="s">
        <v>1318</v>
      </c>
      <c r="J1991" s="509">
        <v>11500</v>
      </c>
    </row>
    <row r="1992" spans="1:10" ht="20.25" customHeight="1">
      <c r="A1992" s="471">
        <v>5151</v>
      </c>
      <c r="B1992" s="474" t="s">
        <v>1217</v>
      </c>
      <c r="C1992" s="473">
        <v>52</v>
      </c>
      <c r="D1992" s="478" t="s">
        <v>1297</v>
      </c>
      <c r="E1992" s="474">
        <v>38901</v>
      </c>
      <c r="F1992" s="475" t="s">
        <v>468</v>
      </c>
      <c r="G1992" s="476">
        <v>30</v>
      </c>
      <c r="H1992" s="475" t="s">
        <v>1298</v>
      </c>
      <c r="I1992" s="487" t="s">
        <v>1319</v>
      </c>
      <c r="J1992" s="509">
        <v>11500</v>
      </c>
    </row>
    <row r="1993" spans="1:10" ht="20.25" customHeight="1">
      <c r="A1993" s="471">
        <v>5151</v>
      </c>
      <c r="B1993" s="474" t="s">
        <v>1217</v>
      </c>
      <c r="C1993" s="473">
        <v>53</v>
      </c>
      <c r="D1993" s="478" t="s">
        <v>1297</v>
      </c>
      <c r="E1993" s="474">
        <v>38901</v>
      </c>
      <c r="F1993" s="475" t="s">
        <v>468</v>
      </c>
      <c r="G1993" s="476">
        <v>30</v>
      </c>
      <c r="H1993" s="475" t="s">
        <v>1298</v>
      </c>
      <c r="I1993" s="487" t="s">
        <v>1320</v>
      </c>
      <c r="J1993" s="509">
        <v>11500</v>
      </c>
    </row>
    <row r="1994" spans="1:10" ht="20.25" customHeight="1">
      <c r="A1994" s="471">
        <v>5151</v>
      </c>
      <c r="B1994" s="474" t="s">
        <v>1217</v>
      </c>
      <c r="C1994" s="473">
        <v>54</v>
      </c>
      <c r="D1994" s="478" t="s">
        <v>1297</v>
      </c>
      <c r="E1994" s="474">
        <v>38901</v>
      </c>
      <c r="F1994" s="475" t="s">
        <v>468</v>
      </c>
      <c r="G1994" s="476">
        <v>30</v>
      </c>
      <c r="H1994" s="475" t="s">
        <v>1298</v>
      </c>
      <c r="I1994" s="487" t="s">
        <v>1321</v>
      </c>
      <c r="J1994" s="509">
        <v>11500</v>
      </c>
    </row>
    <row r="1995" spans="1:10" ht="20.25" customHeight="1">
      <c r="A1995" s="471">
        <v>5151</v>
      </c>
      <c r="B1995" s="474" t="s">
        <v>1217</v>
      </c>
      <c r="C1995" s="473">
        <v>55</v>
      </c>
      <c r="D1995" s="478" t="s">
        <v>1297</v>
      </c>
      <c r="E1995" s="474">
        <v>38901</v>
      </c>
      <c r="F1995" s="475" t="s">
        <v>468</v>
      </c>
      <c r="G1995" s="476">
        <v>30</v>
      </c>
      <c r="H1995" s="475" t="s">
        <v>1298</v>
      </c>
      <c r="I1995" s="487" t="s">
        <v>1322</v>
      </c>
      <c r="J1995" s="509">
        <v>11500</v>
      </c>
    </row>
    <row r="1996" spans="1:10" ht="20.25" customHeight="1">
      <c r="A1996" s="471">
        <v>5151</v>
      </c>
      <c r="B1996" s="474" t="s">
        <v>1217</v>
      </c>
      <c r="C1996" s="473">
        <v>56</v>
      </c>
      <c r="D1996" s="478" t="s">
        <v>1297</v>
      </c>
      <c r="E1996" s="474">
        <v>38901</v>
      </c>
      <c r="F1996" s="475" t="s">
        <v>468</v>
      </c>
      <c r="G1996" s="476">
        <v>30</v>
      </c>
      <c r="H1996" s="475" t="s">
        <v>1298</v>
      </c>
      <c r="I1996" s="487" t="s">
        <v>1323</v>
      </c>
      <c r="J1996" s="509">
        <v>11500</v>
      </c>
    </row>
    <row r="1997" spans="1:10" ht="20.25" customHeight="1">
      <c r="A1997" s="471">
        <v>5151</v>
      </c>
      <c r="B1997" s="474" t="s">
        <v>1217</v>
      </c>
      <c r="C1997" s="473">
        <v>57</v>
      </c>
      <c r="D1997" s="478" t="s">
        <v>1297</v>
      </c>
      <c r="E1997" s="474">
        <v>38901</v>
      </c>
      <c r="F1997" s="475" t="s">
        <v>468</v>
      </c>
      <c r="G1997" s="476">
        <v>30</v>
      </c>
      <c r="H1997" s="475" t="s">
        <v>1298</v>
      </c>
      <c r="I1997" s="487" t="s">
        <v>1324</v>
      </c>
      <c r="J1997" s="509">
        <v>11500</v>
      </c>
    </row>
    <row r="1998" spans="1:10" ht="20.25" customHeight="1">
      <c r="A1998" s="471">
        <v>5151</v>
      </c>
      <c r="B1998" s="474" t="s">
        <v>1217</v>
      </c>
      <c r="C1998" s="473">
        <v>58</v>
      </c>
      <c r="D1998" s="478" t="s">
        <v>1297</v>
      </c>
      <c r="E1998" s="474">
        <v>38901</v>
      </c>
      <c r="F1998" s="475" t="s">
        <v>468</v>
      </c>
      <c r="G1998" s="476">
        <v>30</v>
      </c>
      <c r="H1998" s="475" t="s">
        <v>1298</v>
      </c>
      <c r="I1998" s="487" t="s">
        <v>1325</v>
      </c>
      <c r="J1998" s="509">
        <v>11500</v>
      </c>
    </row>
    <row r="1999" spans="1:10" ht="20.25" customHeight="1">
      <c r="A1999" s="471">
        <v>5151</v>
      </c>
      <c r="B1999" s="474" t="s">
        <v>1217</v>
      </c>
      <c r="C1999" s="473">
        <v>59</v>
      </c>
      <c r="D1999" s="478" t="s">
        <v>1297</v>
      </c>
      <c r="E1999" s="474">
        <v>38901</v>
      </c>
      <c r="F1999" s="475" t="s">
        <v>468</v>
      </c>
      <c r="G1999" s="476">
        <v>30</v>
      </c>
      <c r="H1999" s="475" t="s">
        <v>1298</v>
      </c>
      <c r="I1999" s="487" t="s">
        <v>1326</v>
      </c>
      <c r="J1999" s="509">
        <v>11500</v>
      </c>
    </row>
    <row r="2000" spans="1:10" ht="20.25" customHeight="1">
      <c r="A2000" s="471">
        <v>5151</v>
      </c>
      <c r="B2000" s="474" t="s">
        <v>1217</v>
      </c>
      <c r="C2000" s="473">
        <v>60</v>
      </c>
      <c r="D2000" s="478" t="s">
        <v>1297</v>
      </c>
      <c r="E2000" s="474">
        <v>38901</v>
      </c>
      <c r="F2000" s="475" t="s">
        <v>468</v>
      </c>
      <c r="G2000" s="476">
        <v>30</v>
      </c>
      <c r="H2000" s="475" t="s">
        <v>1298</v>
      </c>
      <c r="I2000" s="487" t="s">
        <v>1327</v>
      </c>
      <c r="J2000" s="509">
        <v>11500</v>
      </c>
    </row>
    <row r="2001" spans="1:10" ht="20.25" customHeight="1">
      <c r="A2001" s="471">
        <v>5151</v>
      </c>
      <c r="B2001" s="474" t="s">
        <v>1217</v>
      </c>
      <c r="C2001" s="473">
        <v>61</v>
      </c>
      <c r="D2001" s="478" t="s">
        <v>1297</v>
      </c>
      <c r="E2001" s="474">
        <v>38901</v>
      </c>
      <c r="F2001" s="475" t="s">
        <v>468</v>
      </c>
      <c r="G2001" s="476">
        <v>30</v>
      </c>
      <c r="H2001" s="475" t="s">
        <v>1298</v>
      </c>
      <c r="I2001" s="487" t="s">
        <v>1328</v>
      </c>
      <c r="J2001" s="509">
        <v>11500</v>
      </c>
    </row>
    <row r="2002" spans="1:10" ht="20.25" customHeight="1">
      <c r="A2002" s="471">
        <v>5151</v>
      </c>
      <c r="B2002" s="474" t="s">
        <v>1217</v>
      </c>
      <c r="C2002" s="473">
        <v>62</v>
      </c>
      <c r="D2002" s="478" t="s">
        <v>1297</v>
      </c>
      <c r="E2002" s="474">
        <v>38901</v>
      </c>
      <c r="F2002" s="475" t="s">
        <v>468</v>
      </c>
      <c r="G2002" s="476">
        <v>30</v>
      </c>
      <c r="H2002" s="475" t="s">
        <v>1298</v>
      </c>
      <c r="I2002" s="487" t="s">
        <v>1329</v>
      </c>
      <c r="J2002" s="509">
        <v>11500</v>
      </c>
    </row>
    <row r="2003" spans="1:10" ht="20.25" customHeight="1">
      <c r="A2003" s="471">
        <v>5151</v>
      </c>
      <c r="B2003" s="474" t="s">
        <v>1217</v>
      </c>
      <c r="C2003" s="473">
        <v>63</v>
      </c>
      <c r="D2003" s="478" t="s">
        <v>1297</v>
      </c>
      <c r="E2003" s="474">
        <v>38901</v>
      </c>
      <c r="F2003" s="475" t="s">
        <v>468</v>
      </c>
      <c r="G2003" s="476">
        <v>30</v>
      </c>
      <c r="H2003" s="475" t="s">
        <v>1298</v>
      </c>
      <c r="I2003" s="487" t="s">
        <v>1330</v>
      </c>
      <c r="J2003" s="509">
        <v>11500</v>
      </c>
    </row>
    <row r="2004" spans="1:10" ht="20.25" customHeight="1">
      <c r="A2004" s="471">
        <v>5151</v>
      </c>
      <c r="B2004" s="474" t="s">
        <v>1217</v>
      </c>
      <c r="C2004" s="473">
        <v>64</v>
      </c>
      <c r="D2004" s="478" t="s">
        <v>1297</v>
      </c>
      <c r="E2004" s="474">
        <v>38901</v>
      </c>
      <c r="F2004" s="475" t="s">
        <v>468</v>
      </c>
      <c r="G2004" s="476">
        <v>30</v>
      </c>
      <c r="H2004" s="475" t="s">
        <v>1298</v>
      </c>
      <c r="I2004" s="487" t="s">
        <v>1331</v>
      </c>
      <c r="J2004" s="509">
        <v>11500</v>
      </c>
    </row>
    <row r="2005" spans="1:10" ht="20.25" customHeight="1">
      <c r="A2005" s="471">
        <v>5151</v>
      </c>
      <c r="B2005" s="474" t="s">
        <v>1217</v>
      </c>
      <c r="C2005" s="473">
        <v>65</v>
      </c>
      <c r="D2005" s="478" t="s">
        <v>1297</v>
      </c>
      <c r="E2005" s="474">
        <v>38901</v>
      </c>
      <c r="F2005" s="475" t="s">
        <v>468</v>
      </c>
      <c r="G2005" s="476">
        <v>30</v>
      </c>
      <c r="H2005" s="475" t="s">
        <v>1298</v>
      </c>
      <c r="I2005" s="487" t="s">
        <v>1332</v>
      </c>
      <c r="J2005" s="509">
        <v>11500</v>
      </c>
    </row>
    <row r="2006" spans="1:10" ht="20.25" customHeight="1">
      <c r="A2006" s="471">
        <v>5151</v>
      </c>
      <c r="B2006" s="474" t="s">
        <v>1217</v>
      </c>
      <c r="C2006" s="473">
        <v>66</v>
      </c>
      <c r="D2006" s="478" t="s">
        <v>1297</v>
      </c>
      <c r="E2006" s="474">
        <v>38901</v>
      </c>
      <c r="F2006" s="475" t="s">
        <v>468</v>
      </c>
      <c r="G2006" s="476">
        <v>30</v>
      </c>
      <c r="H2006" s="475" t="s">
        <v>1298</v>
      </c>
      <c r="I2006" s="487" t="s">
        <v>1333</v>
      </c>
      <c r="J2006" s="509">
        <v>11500</v>
      </c>
    </row>
    <row r="2007" spans="1:10" ht="20.25" customHeight="1">
      <c r="A2007" s="471">
        <v>5151</v>
      </c>
      <c r="B2007" s="474" t="s">
        <v>1217</v>
      </c>
      <c r="C2007" s="473">
        <v>67</v>
      </c>
      <c r="D2007" s="478" t="s">
        <v>1297</v>
      </c>
      <c r="E2007" s="474">
        <v>38901</v>
      </c>
      <c r="F2007" s="475" t="s">
        <v>468</v>
      </c>
      <c r="G2007" s="476">
        <v>30</v>
      </c>
      <c r="H2007" s="475" t="s">
        <v>1298</v>
      </c>
      <c r="I2007" s="487" t="s">
        <v>1334</v>
      </c>
      <c r="J2007" s="509">
        <v>11500</v>
      </c>
    </row>
    <row r="2008" spans="1:10" ht="20.25" customHeight="1">
      <c r="A2008" s="471">
        <v>5151</v>
      </c>
      <c r="B2008" s="474" t="s">
        <v>1217</v>
      </c>
      <c r="C2008" s="473">
        <v>68</v>
      </c>
      <c r="D2008" s="478" t="s">
        <v>1297</v>
      </c>
      <c r="E2008" s="474">
        <v>38901</v>
      </c>
      <c r="F2008" s="475" t="s">
        <v>468</v>
      </c>
      <c r="G2008" s="476">
        <v>30</v>
      </c>
      <c r="H2008" s="475" t="s">
        <v>1298</v>
      </c>
      <c r="I2008" s="487" t="s">
        <v>1335</v>
      </c>
      <c r="J2008" s="509">
        <v>11500</v>
      </c>
    </row>
    <row r="2009" spans="1:10" ht="20.25" customHeight="1">
      <c r="A2009" s="471">
        <v>5151</v>
      </c>
      <c r="B2009" s="474" t="s">
        <v>1217</v>
      </c>
      <c r="C2009" s="473">
        <v>69</v>
      </c>
      <c r="D2009" s="478" t="s">
        <v>1297</v>
      </c>
      <c r="E2009" s="474">
        <v>38901</v>
      </c>
      <c r="F2009" s="475" t="s">
        <v>468</v>
      </c>
      <c r="G2009" s="476">
        <v>30</v>
      </c>
      <c r="H2009" s="475" t="s">
        <v>1298</v>
      </c>
      <c r="I2009" s="487" t="s">
        <v>1336</v>
      </c>
      <c r="J2009" s="509">
        <v>11500</v>
      </c>
    </row>
    <row r="2010" spans="1:10" ht="20.25" customHeight="1">
      <c r="A2010" s="471">
        <v>5151</v>
      </c>
      <c r="B2010" s="474" t="s">
        <v>1217</v>
      </c>
      <c r="C2010" s="473">
        <v>70</v>
      </c>
      <c r="D2010" s="478" t="s">
        <v>1297</v>
      </c>
      <c r="E2010" s="474">
        <v>38901</v>
      </c>
      <c r="F2010" s="475" t="s">
        <v>468</v>
      </c>
      <c r="G2010" s="476">
        <v>30</v>
      </c>
      <c r="H2010" s="475" t="s">
        <v>1298</v>
      </c>
      <c r="I2010" s="487" t="s">
        <v>1337</v>
      </c>
      <c r="J2010" s="509">
        <v>11500</v>
      </c>
    </row>
    <row r="2011" spans="1:10" ht="20.25" customHeight="1">
      <c r="A2011" s="471">
        <v>5151</v>
      </c>
      <c r="B2011" s="474" t="s">
        <v>1217</v>
      </c>
      <c r="C2011" s="473">
        <v>71</v>
      </c>
      <c r="D2011" s="478" t="s">
        <v>1297</v>
      </c>
      <c r="E2011" s="474">
        <v>38901</v>
      </c>
      <c r="F2011" s="475" t="s">
        <v>468</v>
      </c>
      <c r="G2011" s="476">
        <v>30</v>
      </c>
      <c r="H2011" s="475" t="s">
        <v>1298</v>
      </c>
      <c r="I2011" s="487" t="s">
        <v>1338</v>
      </c>
      <c r="J2011" s="509">
        <v>11500</v>
      </c>
    </row>
    <row r="2012" spans="1:10" ht="20.25" customHeight="1">
      <c r="A2012" s="471">
        <v>5151</v>
      </c>
      <c r="B2012" s="474" t="s">
        <v>1217</v>
      </c>
      <c r="C2012" s="473">
        <v>72</v>
      </c>
      <c r="D2012" s="478" t="s">
        <v>1297</v>
      </c>
      <c r="E2012" s="474">
        <v>38901</v>
      </c>
      <c r="F2012" s="475" t="s">
        <v>468</v>
      </c>
      <c r="G2012" s="476">
        <v>30</v>
      </c>
      <c r="H2012" s="475" t="s">
        <v>1298</v>
      </c>
      <c r="I2012" s="487" t="s">
        <v>1339</v>
      </c>
      <c r="J2012" s="509">
        <v>11500</v>
      </c>
    </row>
    <row r="2013" spans="1:10" ht="20.25" customHeight="1">
      <c r="A2013" s="471">
        <v>5151</v>
      </c>
      <c r="B2013" s="474" t="s">
        <v>1217</v>
      </c>
      <c r="C2013" s="473">
        <v>73</v>
      </c>
      <c r="D2013" s="478" t="s">
        <v>1297</v>
      </c>
      <c r="E2013" s="474">
        <v>38901</v>
      </c>
      <c r="F2013" s="475" t="s">
        <v>468</v>
      </c>
      <c r="G2013" s="476">
        <v>30</v>
      </c>
      <c r="H2013" s="475" t="s">
        <v>1298</v>
      </c>
      <c r="I2013" s="487" t="s">
        <v>1340</v>
      </c>
      <c r="J2013" s="509">
        <v>11500</v>
      </c>
    </row>
    <row r="2014" spans="1:10" ht="20.25" customHeight="1">
      <c r="A2014" s="471">
        <v>5151</v>
      </c>
      <c r="B2014" s="474" t="s">
        <v>1217</v>
      </c>
      <c r="C2014" s="473">
        <v>74</v>
      </c>
      <c r="D2014" s="478" t="s">
        <v>1297</v>
      </c>
      <c r="E2014" s="474">
        <v>38901</v>
      </c>
      <c r="F2014" s="475" t="s">
        <v>468</v>
      </c>
      <c r="G2014" s="476">
        <v>30</v>
      </c>
      <c r="H2014" s="475" t="s">
        <v>1298</v>
      </c>
      <c r="I2014" s="487" t="s">
        <v>1341</v>
      </c>
      <c r="J2014" s="509">
        <v>11500</v>
      </c>
    </row>
    <row r="2015" spans="1:10" ht="20.25" customHeight="1">
      <c r="A2015" s="471">
        <v>5151</v>
      </c>
      <c r="B2015" s="474" t="s">
        <v>1217</v>
      </c>
      <c r="C2015" s="473">
        <v>75</v>
      </c>
      <c r="D2015" s="478" t="s">
        <v>1297</v>
      </c>
      <c r="E2015" s="474">
        <v>38901</v>
      </c>
      <c r="F2015" s="475" t="s">
        <v>468</v>
      </c>
      <c r="G2015" s="476">
        <v>30</v>
      </c>
      <c r="H2015" s="475" t="s">
        <v>1298</v>
      </c>
      <c r="I2015" s="487" t="s">
        <v>1342</v>
      </c>
      <c r="J2015" s="509">
        <v>11500</v>
      </c>
    </row>
    <row r="2016" spans="1:10" ht="20.25" customHeight="1">
      <c r="A2016" s="471">
        <v>5151</v>
      </c>
      <c r="B2016" s="474" t="s">
        <v>1217</v>
      </c>
      <c r="C2016" s="473">
        <v>76</v>
      </c>
      <c r="D2016" s="478" t="s">
        <v>1297</v>
      </c>
      <c r="E2016" s="474">
        <v>38901</v>
      </c>
      <c r="F2016" s="475" t="s">
        <v>468</v>
      </c>
      <c r="G2016" s="476">
        <v>30</v>
      </c>
      <c r="H2016" s="475" t="s">
        <v>1298</v>
      </c>
      <c r="I2016" s="487" t="s">
        <v>1343</v>
      </c>
      <c r="J2016" s="509">
        <v>11500</v>
      </c>
    </row>
    <row r="2017" spans="1:10" ht="20.25" customHeight="1">
      <c r="A2017" s="471">
        <v>5151</v>
      </c>
      <c r="B2017" s="474" t="s">
        <v>1217</v>
      </c>
      <c r="C2017" s="473">
        <v>77</v>
      </c>
      <c r="D2017" s="478" t="s">
        <v>1297</v>
      </c>
      <c r="E2017" s="474">
        <v>38901</v>
      </c>
      <c r="F2017" s="475" t="s">
        <v>468</v>
      </c>
      <c r="G2017" s="476">
        <v>30</v>
      </c>
      <c r="H2017" s="475" t="s">
        <v>1298</v>
      </c>
      <c r="I2017" s="487" t="s">
        <v>1344</v>
      </c>
      <c r="J2017" s="509">
        <v>11500</v>
      </c>
    </row>
    <row r="2018" spans="1:10" ht="20.25" customHeight="1">
      <c r="A2018" s="471">
        <v>5151</v>
      </c>
      <c r="B2018" s="474" t="s">
        <v>1217</v>
      </c>
      <c r="C2018" s="473">
        <v>78</v>
      </c>
      <c r="D2018" s="478" t="s">
        <v>1297</v>
      </c>
      <c r="E2018" s="474">
        <v>38901</v>
      </c>
      <c r="F2018" s="475" t="s">
        <v>468</v>
      </c>
      <c r="G2018" s="476">
        <v>30</v>
      </c>
      <c r="H2018" s="475" t="s">
        <v>1298</v>
      </c>
      <c r="I2018" s="487" t="s">
        <v>1345</v>
      </c>
      <c r="J2018" s="509">
        <v>11500</v>
      </c>
    </row>
    <row r="2019" spans="1:10" ht="20.25" customHeight="1">
      <c r="A2019" s="471">
        <v>5151</v>
      </c>
      <c r="B2019" s="474" t="s">
        <v>1217</v>
      </c>
      <c r="C2019" s="473">
        <v>79</v>
      </c>
      <c r="D2019" s="478" t="s">
        <v>1297</v>
      </c>
      <c r="E2019" s="474">
        <v>38901</v>
      </c>
      <c r="F2019" s="475" t="s">
        <v>468</v>
      </c>
      <c r="G2019" s="476">
        <v>31</v>
      </c>
      <c r="H2019" s="475" t="s">
        <v>1346</v>
      </c>
      <c r="I2019" s="487" t="s">
        <v>1347</v>
      </c>
      <c r="J2019" s="509">
        <f>15590*1.15</f>
        <v>17928.5</v>
      </c>
    </row>
    <row r="2020" spans="1:10" ht="20.25" customHeight="1">
      <c r="A2020" s="471">
        <v>5151</v>
      </c>
      <c r="B2020" s="474" t="s">
        <v>1217</v>
      </c>
      <c r="C2020" s="473">
        <v>80</v>
      </c>
      <c r="D2020" s="478" t="s">
        <v>1297</v>
      </c>
      <c r="E2020" s="474">
        <v>38901</v>
      </c>
      <c r="F2020" s="475" t="s">
        <v>468</v>
      </c>
      <c r="G2020" s="476">
        <v>31</v>
      </c>
      <c r="H2020" s="475" t="s">
        <v>1346</v>
      </c>
      <c r="I2020" s="487" t="s">
        <v>1347</v>
      </c>
      <c r="J2020" s="509">
        <f>15590*1.15</f>
        <v>17928.5</v>
      </c>
    </row>
    <row r="2021" spans="1:10" ht="20.25" customHeight="1">
      <c r="A2021" s="471">
        <v>5151</v>
      </c>
      <c r="B2021" s="474" t="s">
        <v>1217</v>
      </c>
      <c r="C2021" s="473">
        <v>81</v>
      </c>
      <c r="D2021" s="478" t="s">
        <v>1297</v>
      </c>
      <c r="E2021" s="474">
        <v>38901</v>
      </c>
      <c r="F2021" s="475" t="s">
        <v>468</v>
      </c>
      <c r="G2021" s="476">
        <v>31</v>
      </c>
      <c r="H2021" s="475" t="s">
        <v>1346</v>
      </c>
      <c r="I2021" s="487" t="s">
        <v>1347</v>
      </c>
      <c r="J2021" s="509">
        <f>15590*1.15</f>
        <v>17928.5</v>
      </c>
    </row>
    <row r="2022" spans="1:10" ht="20.25" customHeight="1">
      <c r="A2022" s="471">
        <v>5151</v>
      </c>
      <c r="B2022" s="474" t="s">
        <v>1217</v>
      </c>
      <c r="C2022" s="473">
        <v>82</v>
      </c>
      <c r="D2022" s="478" t="s">
        <v>1297</v>
      </c>
      <c r="E2022" s="474">
        <v>38901</v>
      </c>
      <c r="F2022" s="475" t="s">
        <v>468</v>
      </c>
      <c r="G2022" s="476">
        <v>31</v>
      </c>
      <c r="H2022" s="475" t="s">
        <v>1346</v>
      </c>
      <c r="I2022" s="487" t="s">
        <v>1347</v>
      </c>
      <c r="J2022" s="509">
        <f>15590*1.15</f>
        <v>17928.5</v>
      </c>
    </row>
    <row r="2023" spans="1:10" ht="20.25" customHeight="1">
      <c r="A2023" s="471">
        <v>5151</v>
      </c>
      <c r="B2023" s="474" t="s">
        <v>1217</v>
      </c>
      <c r="C2023" s="473">
        <v>83</v>
      </c>
      <c r="D2023" s="478">
        <v>5345</v>
      </c>
      <c r="E2023" s="474">
        <v>38905</v>
      </c>
      <c r="F2023" s="475" t="s">
        <v>468</v>
      </c>
      <c r="G2023" s="476">
        <v>33</v>
      </c>
      <c r="H2023" s="475" t="s">
        <v>1348</v>
      </c>
      <c r="I2023" s="487" t="s">
        <v>1349</v>
      </c>
      <c r="J2023" s="509">
        <v>1196.8599999999999</v>
      </c>
    </row>
    <row r="2024" spans="1:10" ht="20.25" customHeight="1">
      <c r="A2024" s="471">
        <v>5151</v>
      </c>
      <c r="B2024" s="474" t="s">
        <v>1217</v>
      </c>
      <c r="C2024" s="473">
        <v>84</v>
      </c>
      <c r="D2024" s="478">
        <v>5345</v>
      </c>
      <c r="E2024" s="474">
        <v>38905</v>
      </c>
      <c r="F2024" s="475" t="s">
        <v>468</v>
      </c>
      <c r="G2024" s="476">
        <v>34</v>
      </c>
      <c r="H2024" s="475" t="s">
        <v>1350</v>
      </c>
      <c r="I2024" s="487" t="s">
        <v>1351</v>
      </c>
      <c r="J2024" s="509">
        <v>67920.429999999993</v>
      </c>
    </row>
    <row r="2025" spans="1:10" ht="20.25" customHeight="1">
      <c r="A2025" s="471">
        <v>5191</v>
      </c>
      <c r="B2025" s="474" t="s">
        <v>1217</v>
      </c>
      <c r="C2025" s="473">
        <v>11</v>
      </c>
      <c r="D2025" s="478">
        <v>5346</v>
      </c>
      <c r="E2025" s="474">
        <v>38905</v>
      </c>
      <c r="F2025" s="475" t="s">
        <v>446</v>
      </c>
      <c r="G2025" s="476">
        <v>46</v>
      </c>
      <c r="H2025" s="475" t="s">
        <v>1352</v>
      </c>
      <c r="I2025" s="487" t="s">
        <v>1353</v>
      </c>
      <c r="J2025" s="509">
        <v>1388.45</v>
      </c>
    </row>
    <row r="2026" spans="1:10" ht="20.25" customHeight="1">
      <c r="A2026" s="471">
        <v>5191</v>
      </c>
      <c r="B2026" s="474" t="s">
        <v>1217</v>
      </c>
      <c r="C2026" s="473">
        <v>12</v>
      </c>
      <c r="D2026" s="478">
        <v>5345</v>
      </c>
      <c r="E2026" s="474">
        <v>38905</v>
      </c>
      <c r="F2026" s="475" t="s">
        <v>468</v>
      </c>
      <c r="G2026" s="476">
        <v>47</v>
      </c>
      <c r="H2026" s="475" t="s">
        <v>1354</v>
      </c>
      <c r="I2026" s="487" t="s">
        <v>1355</v>
      </c>
      <c r="J2026" s="509">
        <v>4347</v>
      </c>
    </row>
    <row r="2027" spans="1:10" ht="20.25" customHeight="1">
      <c r="A2027" s="471">
        <v>5191</v>
      </c>
      <c r="B2027" s="474" t="s">
        <v>1217</v>
      </c>
      <c r="C2027" s="473">
        <v>13</v>
      </c>
      <c r="D2027" s="478">
        <v>5345</v>
      </c>
      <c r="E2027" s="474">
        <v>38905</v>
      </c>
      <c r="F2027" s="475" t="s">
        <v>468</v>
      </c>
      <c r="G2027" s="476">
        <v>47</v>
      </c>
      <c r="H2027" s="475" t="s">
        <v>1354</v>
      </c>
      <c r="I2027" s="487" t="s">
        <v>1355</v>
      </c>
      <c r="J2027" s="509">
        <v>4347</v>
      </c>
    </row>
    <row r="2028" spans="1:10" ht="20.25" customHeight="1">
      <c r="A2028" s="471">
        <v>5191</v>
      </c>
      <c r="B2028" s="474" t="s">
        <v>1217</v>
      </c>
      <c r="C2028" s="473">
        <v>14</v>
      </c>
      <c r="D2028" s="478">
        <v>5345</v>
      </c>
      <c r="E2028" s="474">
        <v>38905</v>
      </c>
      <c r="F2028" s="475" t="s">
        <v>446</v>
      </c>
      <c r="G2028" s="476">
        <v>32</v>
      </c>
      <c r="H2028" s="475" t="s">
        <v>1356</v>
      </c>
      <c r="I2028" s="487" t="s">
        <v>1357</v>
      </c>
      <c r="J2028" s="509">
        <v>14173.64</v>
      </c>
    </row>
    <row r="2029" spans="1:10" ht="20.25" customHeight="1">
      <c r="A2029" s="471">
        <v>5191</v>
      </c>
      <c r="B2029" s="474" t="s">
        <v>1217</v>
      </c>
      <c r="C2029" s="473">
        <v>15</v>
      </c>
      <c r="D2029" s="478">
        <v>5388</v>
      </c>
      <c r="E2029" s="474">
        <v>38908</v>
      </c>
      <c r="F2029" s="475" t="s">
        <v>446</v>
      </c>
      <c r="G2029" s="476">
        <v>48</v>
      </c>
      <c r="H2029" s="475" t="s">
        <v>1358</v>
      </c>
      <c r="I2029" s="487" t="s">
        <v>1359</v>
      </c>
      <c r="J2029" s="509">
        <v>1328.25</v>
      </c>
    </row>
    <row r="2030" spans="1:10" ht="20.25" customHeight="1">
      <c r="A2030" s="471">
        <v>5191</v>
      </c>
      <c r="B2030" s="474" t="s">
        <v>1217</v>
      </c>
      <c r="C2030" s="473">
        <v>16</v>
      </c>
      <c r="D2030" s="478">
        <v>5388</v>
      </c>
      <c r="E2030" s="474">
        <v>38908</v>
      </c>
      <c r="F2030" s="475" t="s">
        <v>446</v>
      </c>
      <c r="G2030" s="476">
        <v>48</v>
      </c>
      <c r="H2030" s="475" t="s">
        <v>1358</v>
      </c>
      <c r="I2030" s="487" t="s">
        <v>1359</v>
      </c>
      <c r="J2030" s="509">
        <v>1328.25</v>
      </c>
    </row>
    <row r="2031" spans="1:10" ht="20.25" customHeight="1">
      <c r="A2031" s="471">
        <v>5111</v>
      </c>
      <c r="B2031" s="474" t="s">
        <v>1217</v>
      </c>
      <c r="C2031" s="473">
        <v>492</v>
      </c>
      <c r="D2031" s="478">
        <v>7330</v>
      </c>
      <c r="E2031" s="474">
        <v>38911</v>
      </c>
      <c r="F2031" s="475" t="s">
        <v>446</v>
      </c>
      <c r="G2031" s="476">
        <v>19</v>
      </c>
      <c r="H2031" s="475" t="s">
        <v>1360</v>
      </c>
      <c r="I2031" s="487" t="s">
        <v>461</v>
      </c>
      <c r="J2031" s="509">
        <v>488.75</v>
      </c>
    </row>
    <row r="2032" spans="1:10" ht="20.25" customHeight="1">
      <c r="A2032" s="471">
        <v>5111</v>
      </c>
      <c r="B2032" s="474" t="s">
        <v>1217</v>
      </c>
      <c r="C2032" s="473">
        <v>493</v>
      </c>
      <c r="D2032" s="478">
        <v>7330</v>
      </c>
      <c r="E2032" s="474">
        <v>38911</v>
      </c>
      <c r="F2032" s="475" t="s">
        <v>446</v>
      </c>
      <c r="G2032" s="476">
        <v>19</v>
      </c>
      <c r="H2032" s="475" t="s">
        <v>1360</v>
      </c>
      <c r="I2032" s="487" t="s">
        <v>461</v>
      </c>
      <c r="J2032" s="509">
        <v>488.75</v>
      </c>
    </row>
    <row r="2033" spans="1:10" ht="20.25" customHeight="1">
      <c r="A2033" s="471">
        <v>5111</v>
      </c>
      <c r="B2033" s="474" t="s">
        <v>1217</v>
      </c>
      <c r="C2033" s="473">
        <v>494</v>
      </c>
      <c r="D2033" s="478">
        <v>7330</v>
      </c>
      <c r="E2033" s="474">
        <v>38911</v>
      </c>
      <c r="F2033" s="475" t="s">
        <v>446</v>
      </c>
      <c r="G2033" s="476">
        <v>19</v>
      </c>
      <c r="H2033" s="475" t="s">
        <v>1360</v>
      </c>
      <c r="I2033" s="487" t="s">
        <v>461</v>
      </c>
      <c r="J2033" s="509">
        <v>488.75</v>
      </c>
    </row>
    <row r="2034" spans="1:10" ht="20.25" customHeight="1">
      <c r="A2034" s="471">
        <v>5111</v>
      </c>
      <c r="B2034" s="474" t="s">
        <v>1217</v>
      </c>
      <c r="C2034" s="473">
        <v>495</v>
      </c>
      <c r="D2034" s="478">
        <v>7330</v>
      </c>
      <c r="E2034" s="474">
        <v>38911</v>
      </c>
      <c r="F2034" s="475" t="s">
        <v>446</v>
      </c>
      <c r="G2034" s="476">
        <v>19</v>
      </c>
      <c r="H2034" s="475" t="s">
        <v>1360</v>
      </c>
      <c r="I2034" s="487" t="s">
        <v>461</v>
      </c>
      <c r="J2034" s="509">
        <v>488.75</v>
      </c>
    </row>
    <row r="2035" spans="1:10" ht="20.25" customHeight="1">
      <c r="A2035" s="471">
        <v>5111</v>
      </c>
      <c r="B2035" s="474" t="s">
        <v>1217</v>
      </c>
      <c r="C2035" s="473">
        <v>496</v>
      </c>
      <c r="D2035" s="478">
        <v>7330</v>
      </c>
      <c r="E2035" s="474">
        <v>38911</v>
      </c>
      <c r="F2035" s="475" t="s">
        <v>446</v>
      </c>
      <c r="G2035" s="476">
        <v>19</v>
      </c>
      <c r="H2035" s="475" t="s">
        <v>1360</v>
      </c>
      <c r="I2035" s="487" t="s">
        <v>461</v>
      </c>
      <c r="J2035" s="509">
        <v>488.75</v>
      </c>
    </row>
    <row r="2036" spans="1:10" ht="20.25" customHeight="1">
      <c r="A2036" s="471">
        <v>5111</v>
      </c>
      <c r="B2036" s="474" t="s">
        <v>1217</v>
      </c>
      <c r="C2036" s="473">
        <v>497</v>
      </c>
      <c r="D2036" s="478">
        <v>7330</v>
      </c>
      <c r="E2036" s="474">
        <v>38911</v>
      </c>
      <c r="F2036" s="475" t="s">
        <v>446</v>
      </c>
      <c r="G2036" s="476">
        <v>19</v>
      </c>
      <c r="H2036" s="475" t="s">
        <v>1360</v>
      </c>
      <c r="I2036" s="487" t="s">
        <v>461</v>
      </c>
      <c r="J2036" s="509">
        <v>488.75</v>
      </c>
    </row>
    <row r="2037" spans="1:10" ht="20.25" customHeight="1">
      <c r="A2037" s="471">
        <v>5111</v>
      </c>
      <c r="B2037" s="474" t="s">
        <v>1217</v>
      </c>
      <c r="C2037" s="473">
        <v>498</v>
      </c>
      <c r="D2037" s="478">
        <v>7330</v>
      </c>
      <c r="E2037" s="474">
        <v>38911</v>
      </c>
      <c r="F2037" s="475" t="s">
        <v>446</v>
      </c>
      <c r="G2037" s="476">
        <v>19</v>
      </c>
      <c r="H2037" s="475" t="s">
        <v>1360</v>
      </c>
      <c r="I2037" s="487" t="s">
        <v>461</v>
      </c>
      <c r="J2037" s="509">
        <v>488.75</v>
      </c>
    </row>
    <row r="2038" spans="1:10" ht="20.25" customHeight="1">
      <c r="A2038" s="471">
        <v>5111</v>
      </c>
      <c r="B2038" s="474" t="s">
        <v>1217</v>
      </c>
      <c r="C2038" s="473">
        <v>499</v>
      </c>
      <c r="D2038" s="478">
        <v>7330</v>
      </c>
      <c r="E2038" s="474">
        <v>38911</v>
      </c>
      <c r="F2038" s="475" t="s">
        <v>446</v>
      </c>
      <c r="G2038" s="476">
        <v>19</v>
      </c>
      <c r="H2038" s="475" t="s">
        <v>1360</v>
      </c>
      <c r="I2038" s="487" t="s">
        <v>461</v>
      </c>
      <c r="J2038" s="509">
        <v>488.75</v>
      </c>
    </row>
    <row r="2039" spans="1:10" ht="20.25" customHeight="1">
      <c r="A2039" s="471">
        <v>5111</v>
      </c>
      <c r="B2039" s="474" t="s">
        <v>1217</v>
      </c>
      <c r="C2039" s="473">
        <v>500</v>
      </c>
      <c r="D2039" s="478">
        <v>7330</v>
      </c>
      <c r="E2039" s="474">
        <v>38911</v>
      </c>
      <c r="F2039" s="475" t="s">
        <v>446</v>
      </c>
      <c r="G2039" s="476">
        <v>19</v>
      </c>
      <c r="H2039" s="475" t="s">
        <v>1360</v>
      </c>
      <c r="I2039" s="487" t="s">
        <v>461</v>
      </c>
      <c r="J2039" s="509">
        <v>488.75</v>
      </c>
    </row>
    <row r="2040" spans="1:10" ht="20.25" customHeight="1">
      <c r="A2040" s="471">
        <v>5111</v>
      </c>
      <c r="B2040" s="474" t="s">
        <v>1217</v>
      </c>
      <c r="C2040" s="473">
        <v>501</v>
      </c>
      <c r="D2040" s="478">
        <v>7330</v>
      </c>
      <c r="E2040" s="474">
        <v>38911</v>
      </c>
      <c r="F2040" s="475" t="s">
        <v>446</v>
      </c>
      <c r="G2040" s="476">
        <v>19</v>
      </c>
      <c r="H2040" s="475" t="s">
        <v>1360</v>
      </c>
      <c r="I2040" s="487" t="s">
        <v>461</v>
      </c>
      <c r="J2040" s="509">
        <v>488.75</v>
      </c>
    </row>
    <row r="2041" spans="1:10" ht="20.25" customHeight="1">
      <c r="A2041" s="471">
        <v>5111</v>
      </c>
      <c r="B2041" s="474" t="s">
        <v>1217</v>
      </c>
      <c r="C2041" s="473">
        <v>502</v>
      </c>
      <c r="D2041" s="478">
        <v>7330</v>
      </c>
      <c r="E2041" s="474">
        <v>38911</v>
      </c>
      <c r="F2041" s="475" t="s">
        <v>446</v>
      </c>
      <c r="G2041" s="476">
        <v>19</v>
      </c>
      <c r="H2041" s="475" t="s">
        <v>1360</v>
      </c>
      <c r="I2041" s="487" t="s">
        <v>461</v>
      </c>
      <c r="J2041" s="509">
        <v>488.75</v>
      </c>
    </row>
    <row r="2042" spans="1:10" ht="20.25" customHeight="1">
      <c r="A2042" s="471">
        <v>5111</v>
      </c>
      <c r="B2042" s="474" t="s">
        <v>1217</v>
      </c>
      <c r="C2042" s="473">
        <v>503</v>
      </c>
      <c r="D2042" s="478">
        <v>7330</v>
      </c>
      <c r="E2042" s="474">
        <v>38911</v>
      </c>
      <c r="F2042" s="475" t="s">
        <v>446</v>
      </c>
      <c r="G2042" s="476">
        <v>19</v>
      </c>
      <c r="H2042" s="475" t="s">
        <v>1360</v>
      </c>
      <c r="I2042" s="487" t="s">
        <v>461</v>
      </c>
      <c r="J2042" s="509">
        <v>488.75</v>
      </c>
    </row>
    <row r="2043" spans="1:10" ht="20.25" customHeight="1">
      <c r="A2043" s="471">
        <v>5111</v>
      </c>
      <c r="B2043" s="474" t="s">
        <v>1217</v>
      </c>
      <c r="C2043" s="473">
        <v>504</v>
      </c>
      <c r="D2043" s="478">
        <v>7330</v>
      </c>
      <c r="E2043" s="474">
        <v>38911</v>
      </c>
      <c r="F2043" s="475" t="s">
        <v>446</v>
      </c>
      <c r="G2043" s="476">
        <v>19</v>
      </c>
      <c r="H2043" s="475" t="s">
        <v>1360</v>
      </c>
      <c r="I2043" s="487" t="s">
        <v>461</v>
      </c>
      <c r="J2043" s="509">
        <v>488.75</v>
      </c>
    </row>
    <row r="2044" spans="1:10" ht="20.25" customHeight="1">
      <c r="A2044" s="471">
        <v>5151</v>
      </c>
      <c r="B2044" s="474" t="s">
        <v>1217</v>
      </c>
      <c r="C2044" s="473">
        <v>85</v>
      </c>
      <c r="D2044" s="478">
        <v>167</v>
      </c>
      <c r="E2044" s="474">
        <v>38923</v>
      </c>
      <c r="F2044" s="475" t="s">
        <v>468</v>
      </c>
      <c r="G2044" s="476">
        <v>35</v>
      </c>
      <c r="H2044" s="475" t="s">
        <v>1361</v>
      </c>
      <c r="I2044" s="487" t="s">
        <v>1362</v>
      </c>
      <c r="J2044" s="509">
        <v>13560.8</v>
      </c>
    </row>
    <row r="2045" spans="1:10" ht="20.25" customHeight="1">
      <c r="A2045" s="471">
        <v>5151</v>
      </c>
      <c r="B2045" s="474" t="s">
        <v>1217</v>
      </c>
      <c r="C2045" s="473">
        <v>86</v>
      </c>
      <c r="D2045" s="478">
        <v>167</v>
      </c>
      <c r="E2045" s="474">
        <v>38923</v>
      </c>
      <c r="F2045" s="475" t="s">
        <v>468</v>
      </c>
      <c r="G2045" s="476">
        <v>35</v>
      </c>
      <c r="H2045" s="475" t="s">
        <v>1361</v>
      </c>
      <c r="I2045" s="487" t="s">
        <v>1362</v>
      </c>
      <c r="J2045" s="509">
        <v>13560.8</v>
      </c>
    </row>
    <row r="2046" spans="1:10" ht="20.25" customHeight="1">
      <c r="A2046" s="471">
        <v>5151</v>
      </c>
      <c r="B2046" s="474" t="s">
        <v>1217</v>
      </c>
      <c r="C2046" s="473">
        <v>87</v>
      </c>
      <c r="D2046" s="478">
        <v>167</v>
      </c>
      <c r="E2046" s="474">
        <v>38923</v>
      </c>
      <c r="F2046" s="475" t="s">
        <v>468</v>
      </c>
      <c r="G2046" s="476">
        <v>35</v>
      </c>
      <c r="H2046" s="475" t="s">
        <v>1361</v>
      </c>
      <c r="I2046" s="487" t="s">
        <v>1362</v>
      </c>
      <c r="J2046" s="509">
        <v>13560.8</v>
      </c>
    </row>
    <row r="2047" spans="1:10" ht="20.25" customHeight="1">
      <c r="A2047" s="471">
        <v>5151</v>
      </c>
      <c r="B2047" s="474" t="s">
        <v>1217</v>
      </c>
      <c r="C2047" s="473">
        <v>88</v>
      </c>
      <c r="D2047" s="478">
        <v>167</v>
      </c>
      <c r="E2047" s="474">
        <v>38923</v>
      </c>
      <c r="F2047" s="475" t="s">
        <v>468</v>
      </c>
      <c r="G2047" s="476">
        <v>35</v>
      </c>
      <c r="H2047" s="475" t="s">
        <v>1361</v>
      </c>
      <c r="I2047" s="487" t="s">
        <v>1362</v>
      </c>
      <c r="J2047" s="509">
        <v>13560.8</v>
      </c>
    </row>
    <row r="2048" spans="1:10" ht="20.25" customHeight="1">
      <c r="A2048" s="471">
        <v>5151</v>
      </c>
      <c r="B2048" s="474" t="s">
        <v>1217</v>
      </c>
      <c r="C2048" s="473">
        <v>89</v>
      </c>
      <c r="D2048" s="478">
        <v>47524</v>
      </c>
      <c r="E2048" s="474">
        <v>38925</v>
      </c>
      <c r="F2048" s="475" t="s">
        <v>468</v>
      </c>
      <c r="G2048" s="476">
        <v>36</v>
      </c>
      <c r="H2048" s="475" t="s">
        <v>1363</v>
      </c>
      <c r="I2048" s="487" t="s">
        <v>1364</v>
      </c>
      <c r="J2048" s="509">
        <v>4900.7849999999999</v>
      </c>
    </row>
    <row r="2049" spans="1:10" ht="20.25" customHeight="1">
      <c r="A2049" s="471">
        <v>5151</v>
      </c>
      <c r="B2049" s="474" t="s">
        <v>1217</v>
      </c>
      <c r="C2049" s="473">
        <v>90</v>
      </c>
      <c r="D2049" s="478">
        <v>47524</v>
      </c>
      <c r="E2049" s="474">
        <v>38925</v>
      </c>
      <c r="F2049" s="475" t="s">
        <v>468</v>
      </c>
      <c r="G2049" s="476">
        <v>36</v>
      </c>
      <c r="H2049" s="475" t="s">
        <v>1363</v>
      </c>
      <c r="I2049" s="487" t="s">
        <v>1365</v>
      </c>
      <c r="J2049" s="509">
        <v>4900.7849999999999</v>
      </c>
    </row>
    <row r="2050" spans="1:10" ht="20.25" customHeight="1">
      <c r="A2050" s="471">
        <v>5111</v>
      </c>
      <c r="B2050" s="474" t="s">
        <v>1217</v>
      </c>
      <c r="C2050" s="473">
        <v>505</v>
      </c>
      <c r="D2050" s="478">
        <v>22482</v>
      </c>
      <c r="E2050" s="474">
        <v>38926</v>
      </c>
      <c r="F2050" s="475" t="s">
        <v>468</v>
      </c>
      <c r="G2050" s="476">
        <v>20</v>
      </c>
      <c r="H2050" s="475" t="s">
        <v>1366</v>
      </c>
      <c r="I2050" s="487" t="s">
        <v>1367</v>
      </c>
      <c r="J2050" s="509">
        <v>1710.05</v>
      </c>
    </row>
    <row r="2051" spans="1:10" ht="20.25" customHeight="1">
      <c r="A2051" s="471">
        <v>5111</v>
      </c>
      <c r="B2051" s="474" t="s">
        <v>1217</v>
      </c>
      <c r="C2051" s="473">
        <v>506</v>
      </c>
      <c r="D2051" s="478">
        <v>22482</v>
      </c>
      <c r="E2051" s="474">
        <v>38927</v>
      </c>
      <c r="F2051" s="475" t="s">
        <v>468</v>
      </c>
      <c r="G2051" s="476">
        <v>20</v>
      </c>
      <c r="H2051" s="475" t="s">
        <v>1366</v>
      </c>
      <c r="I2051" s="487" t="s">
        <v>1368</v>
      </c>
      <c r="J2051" s="509">
        <v>1710.05</v>
      </c>
    </row>
    <row r="2052" spans="1:10" ht="20.25" customHeight="1">
      <c r="A2052" s="471">
        <v>5111</v>
      </c>
      <c r="B2052" s="474" t="s">
        <v>1217</v>
      </c>
      <c r="C2052" s="473">
        <v>507</v>
      </c>
      <c r="D2052" s="478">
        <v>22482</v>
      </c>
      <c r="E2052" s="474">
        <v>38928</v>
      </c>
      <c r="F2052" s="475" t="s">
        <v>468</v>
      </c>
      <c r="G2052" s="476">
        <v>20</v>
      </c>
      <c r="H2052" s="475" t="s">
        <v>1366</v>
      </c>
      <c r="I2052" s="487" t="s">
        <v>1369</v>
      </c>
      <c r="J2052" s="509">
        <v>1710.05</v>
      </c>
    </row>
    <row r="2053" spans="1:10" ht="20.25" customHeight="1">
      <c r="A2053" s="471">
        <v>5621</v>
      </c>
      <c r="B2053" s="474" t="s">
        <v>1217</v>
      </c>
      <c r="C2053" s="473">
        <v>1</v>
      </c>
      <c r="D2053" s="478">
        <v>2373</v>
      </c>
      <c r="E2053" s="474">
        <v>38936</v>
      </c>
      <c r="F2053" s="475" t="s">
        <v>446</v>
      </c>
      <c r="G2053" s="476">
        <v>73</v>
      </c>
      <c r="H2053" s="475" t="s">
        <v>1370</v>
      </c>
      <c r="I2053" s="487" t="s">
        <v>1371</v>
      </c>
      <c r="J2053" s="509">
        <v>2137.85</v>
      </c>
    </row>
    <row r="2054" spans="1:10" ht="20.25" customHeight="1">
      <c r="A2054" s="471">
        <v>5621</v>
      </c>
      <c r="B2054" s="474" t="s">
        <v>1217</v>
      </c>
      <c r="C2054" s="473">
        <v>2</v>
      </c>
      <c r="D2054" s="478">
        <v>2373</v>
      </c>
      <c r="E2054" s="474">
        <v>38936</v>
      </c>
      <c r="F2054" s="475" t="s">
        <v>446</v>
      </c>
      <c r="G2054" s="476">
        <v>73</v>
      </c>
      <c r="H2054" s="475" t="s">
        <v>1370</v>
      </c>
      <c r="I2054" s="487" t="s">
        <v>1371</v>
      </c>
      <c r="J2054" s="509">
        <v>2137.85</v>
      </c>
    </row>
    <row r="2055" spans="1:10" ht="20.25" customHeight="1">
      <c r="A2055" s="471">
        <v>5311</v>
      </c>
      <c r="B2055" s="474" t="s">
        <v>1217</v>
      </c>
      <c r="C2055" s="473">
        <v>198</v>
      </c>
      <c r="D2055" s="478">
        <v>12205</v>
      </c>
      <c r="E2055" s="474">
        <v>38943</v>
      </c>
      <c r="F2055" s="475" t="s">
        <v>446</v>
      </c>
      <c r="G2055" s="476">
        <v>69</v>
      </c>
      <c r="H2055" s="475" t="s">
        <v>1372</v>
      </c>
      <c r="I2055" s="487" t="s">
        <v>1373</v>
      </c>
      <c r="J2055" s="510">
        <v>6.61</v>
      </c>
    </row>
    <row r="2056" spans="1:10" ht="20.25" customHeight="1">
      <c r="A2056" s="471">
        <v>5311</v>
      </c>
      <c r="B2056" s="474" t="s">
        <v>1217</v>
      </c>
      <c r="C2056" s="473">
        <v>199</v>
      </c>
      <c r="D2056" s="478">
        <v>12205</v>
      </c>
      <c r="E2056" s="474">
        <v>38943</v>
      </c>
      <c r="F2056" s="475" t="s">
        <v>446</v>
      </c>
      <c r="G2056" s="476">
        <v>69</v>
      </c>
      <c r="H2056" s="475" t="s">
        <v>1372</v>
      </c>
      <c r="I2056" s="487" t="s">
        <v>1373</v>
      </c>
      <c r="J2056" s="510">
        <v>6.61</v>
      </c>
    </row>
    <row r="2057" spans="1:10" ht="20.25" customHeight="1">
      <c r="A2057" s="471">
        <v>5311</v>
      </c>
      <c r="B2057" s="474" t="s">
        <v>1217</v>
      </c>
      <c r="C2057" s="473">
        <v>200</v>
      </c>
      <c r="D2057" s="478">
        <v>12205</v>
      </c>
      <c r="E2057" s="474">
        <v>38943</v>
      </c>
      <c r="F2057" s="475" t="s">
        <v>446</v>
      </c>
      <c r="G2057" s="476">
        <v>69</v>
      </c>
      <c r="H2057" s="475" t="s">
        <v>1372</v>
      </c>
      <c r="I2057" s="487" t="s">
        <v>1373</v>
      </c>
      <c r="J2057" s="510">
        <v>6.61</v>
      </c>
    </row>
    <row r="2058" spans="1:10" ht="20.25" customHeight="1">
      <c r="A2058" s="471">
        <v>5311</v>
      </c>
      <c r="B2058" s="474" t="s">
        <v>1217</v>
      </c>
      <c r="C2058" s="473">
        <v>201</v>
      </c>
      <c r="D2058" s="478">
        <v>12205</v>
      </c>
      <c r="E2058" s="474">
        <v>38943</v>
      </c>
      <c r="F2058" s="475" t="s">
        <v>446</v>
      </c>
      <c r="G2058" s="476">
        <v>69</v>
      </c>
      <c r="H2058" s="475" t="s">
        <v>1372</v>
      </c>
      <c r="I2058" s="487" t="s">
        <v>1373</v>
      </c>
      <c r="J2058" s="510">
        <v>6.61</v>
      </c>
    </row>
    <row r="2059" spans="1:10" ht="20.25" customHeight="1">
      <c r="A2059" s="471">
        <v>5311</v>
      </c>
      <c r="B2059" s="474" t="s">
        <v>1217</v>
      </c>
      <c r="C2059" s="473">
        <v>202</v>
      </c>
      <c r="D2059" s="478">
        <v>12205</v>
      </c>
      <c r="E2059" s="474">
        <v>38943</v>
      </c>
      <c r="F2059" s="475" t="s">
        <v>446</v>
      </c>
      <c r="G2059" s="476">
        <v>69</v>
      </c>
      <c r="H2059" s="475" t="s">
        <v>1372</v>
      </c>
      <c r="I2059" s="487" t="s">
        <v>1373</v>
      </c>
      <c r="J2059" s="510">
        <v>6.61</v>
      </c>
    </row>
    <row r="2060" spans="1:10" ht="20.25" customHeight="1">
      <c r="A2060" s="471">
        <v>5311</v>
      </c>
      <c r="B2060" s="474" t="s">
        <v>1217</v>
      </c>
      <c r="C2060" s="473">
        <v>203</v>
      </c>
      <c r="D2060" s="478">
        <v>12205</v>
      </c>
      <c r="E2060" s="474">
        <v>38943</v>
      </c>
      <c r="F2060" s="475" t="s">
        <v>446</v>
      </c>
      <c r="G2060" s="476">
        <v>69</v>
      </c>
      <c r="H2060" s="475" t="s">
        <v>1372</v>
      </c>
      <c r="I2060" s="487" t="s">
        <v>1373</v>
      </c>
      <c r="J2060" s="510">
        <v>6.61</v>
      </c>
    </row>
    <row r="2061" spans="1:10" ht="20.25" customHeight="1">
      <c r="A2061" s="471">
        <v>5311</v>
      </c>
      <c r="B2061" s="474" t="s">
        <v>1217</v>
      </c>
      <c r="C2061" s="473">
        <v>204</v>
      </c>
      <c r="D2061" s="478">
        <v>12205</v>
      </c>
      <c r="E2061" s="474">
        <v>38943</v>
      </c>
      <c r="F2061" s="475" t="s">
        <v>446</v>
      </c>
      <c r="G2061" s="476">
        <v>69</v>
      </c>
      <c r="H2061" s="475" t="s">
        <v>1372</v>
      </c>
      <c r="I2061" s="487" t="s">
        <v>1373</v>
      </c>
      <c r="J2061" s="510">
        <v>6.61</v>
      </c>
    </row>
    <row r="2062" spans="1:10" ht="20.25" customHeight="1">
      <c r="A2062" s="471">
        <v>5311</v>
      </c>
      <c r="B2062" s="474" t="s">
        <v>1217</v>
      </c>
      <c r="C2062" s="473">
        <v>205</v>
      </c>
      <c r="D2062" s="478">
        <v>12205</v>
      </c>
      <c r="E2062" s="474">
        <v>38943</v>
      </c>
      <c r="F2062" s="475" t="s">
        <v>446</v>
      </c>
      <c r="G2062" s="476">
        <v>69</v>
      </c>
      <c r="H2062" s="475" t="s">
        <v>1372</v>
      </c>
      <c r="I2062" s="487" t="s">
        <v>1373</v>
      </c>
      <c r="J2062" s="510">
        <v>6.61</v>
      </c>
    </row>
    <row r="2063" spans="1:10" ht="20.25" customHeight="1">
      <c r="A2063" s="471">
        <v>5311</v>
      </c>
      <c r="B2063" s="474" t="s">
        <v>1217</v>
      </c>
      <c r="C2063" s="473">
        <v>206</v>
      </c>
      <c r="D2063" s="478">
        <v>12205</v>
      </c>
      <c r="E2063" s="474">
        <v>38943</v>
      </c>
      <c r="F2063" s="475" t="s">
        <v>446</v>
      </c>
      <c r="G2063" s="476">
        <v>69</v>
      </c>
      <c r="H2063" s="475" t="s">
        <v>1372</v>
      </c>
      <c r="I2063" s="487" t="s">
        <v>1373</v>
      </c>
      <c r="J2063" s="510">
        <v>6.61</v>
      </c>
    </row>
    <row r="2064" spans="1:10" ht="20.25" customHeight="1">
      <c r="A2064" s="471">
        <v>5311</v>
      </c>
      <c r="B2064" s="474" t="s">
        <v>1217</v>
      </c>
      <c r="C2064" s="473">
        <v>207</v>
      </c>
      <c r="D2064" s="478">
        <v>12205</v>
      </c>
      <c r="E2064" s="474">
        <v>38943</v>
      </c>
      <c r="F2064" s="475" t="s">
        <v>446</v>
      </c>
      <c r="G2064" s="476">
        <v>69</v>
      </c>
      <c r="H2064" s="475" t="s">
        <v>1372</v>
      </c>
      <c r="I2064" s="487" t="s">
        <v>1373</v>
      </c>
      <c r="J2064" s="510">
        <v>6.61</v>
      </c>
    </row>
    <row r="2065" spans="1:10" ht="20.25" customHeight="1">
      <c r="A2065" s="471">
        <v>5311</v>
      </c>
      <c r="B2065" s="474" t="s">
        <v>1217</v>
      </c>
      <c r="C2065" s="473">
        <v>208</v>
      </c>
      <c r="D2065" s="478">
        <v>12205</v>
      </c>
      <c r="E2065" s="474">
        <v>38943</v>
      </c>
      <c r="F2065" s="475" t="s">
        <v>446</v>
      </c>
      <c r="G2065" s="476">
        <v>69</v>
      </c>
      <c r="H2065" s="475" t="s">
        <v>1372</v>
      </c>
      <c r="I2065" s="487" t="s">
        <v>1373</v>
      </c>
      <c r="J2065" s="510">
        <v>6.61</v>
      </c>
    </row>
    <row r="2066" spans="1:10" ht="20.25" customHeight="1">
      <c r="A2066" s="471">
        <v>5311</v>
      </c>
      <c r="B2066" s="474" t="s">
        <v>1217</v>
      </c>
      <c r="C2066" s="473">
        <v>209</v>
      </c>
      <c r="D2066" s="478">
        <v>12205</v>
      </c>
      <c r="E2066" s="474">
        <v>38943</v>
      </c>
      <c r="F2066" s="475" t="s">
        <v>446</v>
      </c>
      <c r="G2066" s="476">
        <v>69</v>
      </c>
      <c r="H2066" s="475" t="s">
        <v>1372</v>
      </c>
      <c r="I2066" s="487" t="s">
        <v>1373</v>
      </c>
      <c r="J2066" s="510">
        <v>6.61</v>
      </c>
    </row>
    <row r="2067" spans="1:10" ht="20.25" customHeight="1">
      <c r="A2067" s="471">
        <v>5311</v>
      </c>
      <c r="B2067" s="474" t="s">
        <v>1217</v>
      </c>
      <c r="C2067" s="473">
        <v>210</v>
      </c>
      <c r="D2067" s="478">
        <v>12205</v>
      </c>
      <c r="E2067" s="474">
        <v>38943</v>
      </c>
      <c r="F2067" s="475" t="s">
        <v>446</v>
      </c>
      <c r="G2067" s="476">
        <v>69</v>
      </c>
      <c r="H2067" s="475" t="s">
        <v>1372</v>
      </c>
      <c r="I2067" s="487" t="s">
        <v>1373</v>
      </c>
      <c r="J2067" s="510">
        <v>6.61</v>
      </c>
    </row>
    <row r="2068" spans="1:10" ht="20.25" customHeight="1">
      <c r="A2068" s="471">
        <v>5311</v>
      </c>
      <c r="B2068" s="474" t="s">
        <v>1217</v>
      </c>
      <c r="C2068" s="473">
        <v>211</v>
      </c>
      <c r="D2068" s="478">
        <v>12205</v>
      </c>
      <c r="E2068" s="474">
        <v>38943</v>
      </c>
      <c r="F2068" s="475" t="s">
        <v>446</v>
      </c>
      <c r="G2068" s="476">
        <v>69</v>
      </c>
      <c r="H2068" s="475" t="s">
        <v>1372</v>
      </c>
      <c r="I2068" s="487" t="s">
        <v>1373</v>
      </c>
      <c r="J2068" s="510">
        <v>6.61</v>
      </c>
    </row>
    <row r="2069" spans="1:10" ht="20.25" customHeight="1">
      <c r="A2069" s="471">
        <v>5311</v>
      </c>
      <c r="B2069" s="474" t="s">
        <v>1217</v>
      </c>
      <c r="C2069" s="473">
        <v>212</v>
      </c>
      <c r="D2069" s="478">
        <v>12205</v>
      </c>
      <c r="E2069" s="474">
        <v>38943</v>
      </c>
      <c r="F2069" s="475" t="s">
        <v>446</v>
      </c>
      <c r="G2069" s="476">
        <v>69</v>
      </c>
      <c r="H2069" s="475" t="s">
        <v>1372</v>
      </c>
      <c r="I2069" s="487" t="s">
        <v>1373</v>
      </c>
      <c r="J2069" s="510">
        <v>6.61</v>
      </c>
    </row>
    <row r="2070" spans="1:10" ht="20.25" customHeight="1">
      <c r="A2070" s="471">
        <v>5311</v>
      </c>
      <c r="B2070" s="474" t="s">
        <v>1217</v>
      </c>
      <c r="C2070" s="473">
        <v>213</v>
      </c>
      <c r="D2070" s="478">
        <v>12205</v>
      </c>
      <c r="E2070" s="474">
        <v>38943</v>
      </c>
      <c r="F2070" s="475" t="s">
        <v>446</v>
      </c>
      <c r="G2070" s="476">
        <v>69</v>
      </c>
      <c r="H2070" s="475" t="s">
        <v>1372</v>
      </c>
      <c r="I2070" s="487" t="s">
        <v>1373</v>
      </c>
      <c r="J2070" s="510">
        <v>6.61</v>
      </c>
    </row>
    <row r="2071" spans="1:10" ht="20.25" customHeight="1">
      <c r="A2071" s="471">
        <v>5311</v>
      </c>
      <c r="B2071" s="474" t="s">
        <v>1217</v>
      </c>
      <c r="C2071" s="473">
        <v>214</v>
      </c>
      <c r="D2071" s="478">
        <v>12205</v>
      </c>
      <c r="E2071" s="474">
        <v>38943</v>
      </c>
      <c r="F2071" s="475" t="s">
        <v>446</v>
      </c>
      <c r="G2071" s="476">
        <v>69</v>
      </c>
      <c r="H2071" s="475" t="s">
        <v>1372</v>
      </c>
      <c r="I2071" s="487" t="s">
        <v>1373</v>
      </c>
      <c r="J2071" s="510">
        <v>6.61</v>
      </c>
    </row>
    <row r="2072" spans="1:10" ht="20.25" customHeight="1">
      <c r="A2072" s="471">
        <v>5311</v>
      </c>
      <c r="B2072" s="474" t="s">
        <v>1217</v>
      </c>
      <c r="C2072" s="473">
        <v>215</v>
      </c>
      <c r="D2072" s="478">
        <v>12205</v>
      </c>
      <c r="E2072" s="474">
        <v>38943</v>
      </c>
      <c r="F2072" s="475" t="s">
        <v>446</v>
      </c>
      <c r="G2072" s="476">
        <v>69</v>
      </c>
      <c r="H2072" s="475" t="s">
        <v>1372</v>
      </c>
      <c r="I2072" s="487" t="s">
        <v>1373</v>
      </c>
      <c r="J2072" s="510">
        <v>6.61</v>
      </c>
    </row>
    <row r="2073" spans="1:10" ht="20.25" customHeight="1">
      <c r="A2073" s="471">
        <v>5311</v>
      </c>
      <c r="B2073" s="474" t="s">
        <v>1217</v>
      </c>
      <c r="C2073" s="473">
        <v>216</v>
      </c>
      <c r="D2073" s="478">
        <v>12205</v>
      </c>
      <c r="E2073" s="474">
        <v>38943</v>
      </c>
      <c r="F2073" s="475" t="s">
        <v>446</v>
      </c>
      <c r="G2073" s="476">
        <v>69</v>
      </c>
      <c r="H2073" s="475" t="s">
        <v>1372</v>
      </c>
      <c r="I2073" s="487" t="s">
        <v>1373</v>
      </c>
      <c r="J2073" s="510">
        <v>6.61</v>
      </c>
    </row>
    <row r="2074" spans="1:10" ht="20.25" customHeight="1">
      <c r="A2074" s="471">
        <v>5311</v>
      </c>
      <c r="B2074" s="474" t="s">
        <v>1217</v>
      </c>
      <c r="C2074" s="473">
        <v>217</v>
      </c>
      <c r="D2074" s="478">
        <v>12205</v>
      </c>
      <c r="E2074" s="474">
        <v>38943</v>
      </c>
      <c r="F2074" s="475" t="s">
        <v>446</v>
      </c>
      <c r="G2074" s="476">
        <v>69</v>
      </c>
      <c r="H2074" s="475" t="s">
        <v>1372</v>
      </c>
      <c r="I2074" s="487" t="s">
        <v>1373</v>
      </c>
      <c r="J2074" s="510">
        <v>6.61</v>
      </c>
    </row>
    <row r="2075" spans="1:10" ht="20.25" customHeight="1">
      <c r="A2075" s="471">
        <v>5311</v>
      </c>
      <c r="B2075" s="474" t="s">
        <v>1217</v>
      </c>
      <c r="C2075" s="473">
        <v>218</v>
      </c>
      <c r="D2075" s="478">
        <v>12205</v>
      </c>
      <c r="E2075" s="474">
        <v>38943</v>
      </c>
      <c r="F2075" s="475" t="s">
        <v>446</v>
      </c>
      <c r="G2075" s="476">
        <v>69</v>
      </c>
      <c r="H2075" s="475" t="s">
        <v>1372</v>
      </c>
      <c r="I2075" s="487" t="s">
        <v>1373</v>
      </c>
      <c r="J2075" s="510">
        <v>6.61</v>
      </c>
    </row>
    <row r="2076" spans="1:10" ht="20.25" customHeight="1">
      <c r="A2076" s="471">
        <v>5311</v>
      </c>
      <c r="B2076" s="474" t="s">
        <v>1217</v>
      </c>
      <c r="C2076" s="473">
        <v>219</v>
      </c>
      <c r="D2076" s="478">
        <v>12205</v>
      </c>
      <c r="E2076" s="474">
        <v>38943</v>
      </c>
      <c r="F2076" s="475" t="s">
        <v>446</v>
      </c>
      <c r="G2076" s="476">
        <v>69</v>
      </c>
      <c r="H2076" s="475" t="s">
        <v>1372</v>
      </c>
      <c r="I2076" s="487" t="s">
        <v>1373</v>
      </c>
      <c r="J2076" s="510">
        <v>6.61</v>
      </c>
    </row>
    <row r="2077" spans="1:10" ht="20.25" customHeight="1">
      <c r="A2077" s="471">
        <v>5311</v>
      </c>
      <c r="B2077" s="474" t="s">
        <v>1217</v>
      </c>
      <c r="C2077" s="473">
        <v>220</v>
      </c>
      <c r="D2077" s="478">
        <v>12205</v>
      </c>
      <c r="E2077" s="474">
        <v>38943</v>
      </c>
      <c r="F2077" s="475" t="s">
        <v>446</v>
      </c>
      <c r="G2077" s="476">
        <v>69</v>
      </c>
      <c r="H2077" s="475" t="s">
        <v>1372</v>
      </c>
      <c r="I2077" s="487" t="s">
        <v>1373</v>
      </c>
      <c r="J2077" s="510">
        <v>6.61</v>
      </c>
    </row>
    <row r="2078" spans="1:10" ht="20.25" customHeight="1">
      <c r="A2078" s="471">
        <v>5311</v>
      </c>
      <c r="B2078" s="474" t="s">
        <v>1217</v>
      </c>
      <c r="C2078" s="473">
        <v>221</v>
      </c>
      <c r="D2078" s="478">
        <v>12205</v>
      </c>
      <c r="E2078" s="474">
        <v>38943</v>
      </c>
      <c r="F2078" s="475" t="s">
        <v>446</v>
      </c>
      <c r="G2078" s="476">
        <v>69</v>
      </c>
      <c r="H2078" s="475" t="s">
        <v>1372</v>
      </c>
      <c r="I2078" s="487" t="s">
        <v>1373</v>
      </c>
      <c r="J2078" s="510">
        <v>6.61</v>
      </c>
    </row>
    <row r="2079" spans="1:10" ht="20.25" customHeight="1">
      <c r="A2079" s="471">
        <v>5311</v>
      </c>
      <c r="B2079" s="474" t="s">
        <v>1217</v>
      </c>
      <c r="C2079" s="473">
        <v>222</v>
      </c>
      <c r="D2079" s="478">
        <v>12205</v>
      </c>
      <c r="E2079" s="474">
        <v>38943</v>
      </c>
      <c r="F2079" s="475" t="s">
        <v>446</v>
      </c>
      <c r="G2079" s="476">
        <v>69</v>
      </c>
      <c r="H2079" s="475" t="s">
        <v>1372</v>
      </c>
      <c r="I2079" s="487" t="s">
        <v>1373</v>
      </c>
      <c r="J2079" s="510">
        <v>6.61</v>
      </c>
    </row>
    <row r="2080" spans="1:10" ht="20.25" customHeight="1">
      <c r="A2080" s="471">
        <v>5311</v>
      </c>
      <c r="B2080" s="474" t="s">
        <v>1217</v>
      </c>
      <c r="C2080" s="473">
        <v>223</v>
      </c>
      <c r="D2080" s="478">
        <v>12205</v>
      </c>
      <c r="E2080" s="474">
        <v>38943</v>
      </c>
      <c r="F2080" s="475" t="s">
        <v>446</v>
      </c>
      <c r="G2080" s="476">
        <v>69</v>
      </c>
      <c r="H2080" s="475" t="s">
        <v>1372</v>
      </c>
      <c r="I2080" s="487" t="s">
        <v>1373</v>
      </c>
      <c r="J2080" s="510">
        <v>6.61</v>
      </c>
    </row>
    <row r="2081" spans="1:10" ht="20.25" customHeight="1">
      <c r="A2081" s="471">
        <v>5311</v>
      </c>
      <c r="B2081" s="474" t="s">
        <v>1217</v>
      </c>
      <c r="C2081" s="473">
        <v>224</v>
      </c>
      <c r="D2081" s="478">
        <v>12205</v>
      </c>
      <c r="E2081" s="474">
        <v>38943</v>
      </c>
      <c r="F2081" s="475" t="s">
        <v>446</v>
      </c>
      <c r="G2081" s="476">
        <v>69</v>
      </c>
      <c r="H2081" s="475" t="s">
        <v>1372</v>
      </c>
      <c r="I2081" s="487" t="s">
        <v>1373</v>
      </c>
      <c r="J2081" s="510">
        <v>6.61</v>
      </c>
    </row>
    <row r="2082" spans="1:10" ht="20.25" customHeight="1">
      <c r="A2082" s="471">
        <v>5311</v>
      </c>
      <c r="B2082" s="474" t="s">
        <v>1217</v>
      </c>
      <c r="C2082" s="473">
        <v>225</v>
      </c>
      <c r="D2082" s="478">
        <v>12205</v>
      </c>
      <c r="E2082" s="474">
        <v>38943</v>
      </c>
      <c r="F2082" s="475" t="s">
        <v>446</v>
      </c>
      <c r="G2082" s="476">
        <v>69</v>
      </c>
      <c r="H2082" s="475" t="s">
        <v>1372</v>
      </c>
      <c r="I2082" s="487" t="s">
        <v>1373</v>
      </c>
      <c r="J2082" s="510">
        <v>6.61</v>
      </c>
    </row>
    <row r="2083" spans="1:10" ht="20.25" customHeight="1">
      <c r="A2083" s="471">
        <v>5311</v>
      </c>
      <c r="B2083" s="474" t="s">
        <v>1217</v>
      </c>
      <c r="C2083" s="473">
        <v>226</v>
      </c>
      <c r="D2083" s="478">
        <v>12205</v>
      </c>
      <c r="E2083" s="474">
        <v>38943</v>
      </c>
      <c r="F2083" s="475" t="s">
        <v>446</v>
      </c>
      <c r="G2083" s="476">
        <v>69</v>
      </c>
      <c r="H2083" s="475" t="s">
        <v>1372</v>
      </c>
      <c r="I2083" s="487" t="s">
        <v>1373</v>
      </c>
      <c r="J2083" s="510">
        <v>6.61</v>
      </c>
    </row>
    <row r="2084" spans="1:10" ht="20.25" customHeight="1">
      <c r="A2084" s="471">
        <v>5311</v>
      </c>
      <c r="B2084" s="474" t="s">
        <v>1217</v>
      </c>
      <c r="C2084" s="473">
        <v>227</v>
      </c>
      <c r="D2084" s="478">
        <v>12205</v>
      </c>
      <c r="E2084" s="474">
        <v>38943</v>
      </c>
      <c r="F2084" s="475" t="s">
        <v>446</v>
      </c>
      <c r="G2084" s="476">
        <v>69</v>
      </c>
      <c r="H2084" s="475" t="s">
        <v>1372</v>
      </c>
      <c r="I2084" s="487" t="s">
        <v>1373</v>
      </c>
      <c r="J2084" s="510">
        <v>6.61</v>
      </c>
    </row>
    <row r="2085" spans="1:10" ht="20.25" customHeight="1">
      <c r="A2085" s="471">
        <v>5311</v>
      </c>
      <c r="B2085" s="474" t="s">
        <v>1217</v>
      </c>
      <c r="C2085" s="473">
        <v>228</v>
      </c>
      <c r="D2085" s="478">
        <v>12205</v>
      </c>
      <c r="E2085" s="474">
        <v>38943</v>
      </c>
      <c r="F2085" s="475" t="s">
        <v>446</v>
      </c>
      <c r="G2085" s="476">
        <v>69</v>
      </c>
      <c r="H2085" s="475" t="s">
        <v>1372</v>
      </c>
      <c r="I2085" s="487" t="s">
        <v>1373</v>
      </c>
      <c r="J2085" s="510">
        <v>6.61</v>
      </c>
    </row>
    <row r="2086" spans="1:10" ht="20.25" customHeight="1">
      <c r="A2086" s="471">
        <v>5311</v>
      </c>
      <c r="B2086" s="474" t="s">
        <v>1217</v>
      </c>
      <c r="C2086" s="473">
        <v>229</v>
      </c>
      <c r="D2086" s="478">
        <v>12205</v>
      </c>
      <c r="E2086" s="474">
        <v>38943</v>
      </c>
      <c r="F2086" s="475" t="s">
        <v>446</v>
      </c>
      <c r="G2086" s="476">
        <v>69</v>
      </c>
      <c r="H2086" s="475" t="s">
        <v>1372</v>
      </c>
      <c r="I2086" s="487" t="s">
        <v>1373</v>
      </c>
      <c r="J2086" s="510">
        <v>6.61</v>
      </c>
    </row>
    <row r="2087" spans="1:10" ht="20.25" customHeight="1">
      <c r="A2087" s="471">
        <v>5311</v>
      </c>
      <c r="B2087" s="474" t="s">
        <v>1217</v>
      </c>
      <c r="C2087" s="473">
        <v>230</v>
      </c>
      <c r="D2087" s="478">
        <v>12205</v>
      </c>
      <c r="E2087" s="474">
        <v>38943</v>
      </c>
      <c r="F2087" s="475" t="s">
        <v>446</v>
      </c>
      <c r="G2087" s="476">
        <v>69</v>
      </c>
      <c r="H2087" s="475" t="s">
        <v>1372</v>
      </c>
      <c r="I2087" s="487" t="s">
        <v>1373</v>
      </c>
      <c r="J2087" s="510">
        <v>6.61</v>
      </c>
    </row>
    <row r="2088" spans="1:10" ht="20.25" customHeight="1">
      <c r="A2088" s="471">
        <v>5311</v>
      </c>
      <c r="B2088" s="474" t="s">
        <v>1217</v>
      </c>
      <c r="C2088" s="473">
        <v>231</v>
      </c>
      <c r="D2088" s="478">
        <v>12205</v>
      </c>
      <c r="E2088" s="474">
        <v>38943</v>
      </c>
      <c r="F2088" s="475" t="s">
        <v>446</v>
      </c>
      <c r="G2088" s="476">
        <v>69</v>
      </c>
      <c r="H2088" s="475" t="s">
        <v>1372</v>
      </c>
      <c r="I2088" s="487" t="s">
        <v>1373</v>
      </c>
      <c r="J2088" s="510">
        <v>6.61</v>
      </c>
    </row>
    <row r="2089" spans="1:10" ht="20.25" customHeight="1">
      <c r="A2089" s="471">
        <v>5311</v>
      </c>
      <c r="B2089" s="474" t="s">
        <v>1217</v>
      </c>
      <c r="C2089" s="473">
        <v>232</v>
      </c>
      <c r="D2089" s="478">
        <v>12205</v>
      </c>
      <c r="E2089" s="474">
        <v>38943</v>
      </c>
      <c r="F2089" s="475" t="s">
        <v>446</v>
      </c>
      <c r="G2089" s="476">
        <v>69</v>
      </c>
      <c r="H2089" s="475" t="s">
        <v>1372</v>
      </c>
      <c r="I2089" s="487" t="s">
        <v>1373</v>
      </c>
      <c r="J2089" s="510">
        <v>6.61</v>
      </c>
    </row>
    <row r="2090" spans="1:10" ht="20.25" customHeight="1">
      <c r="A2090" s="471">
        <v>5311</v>
      </c>
      <c r="B2090" s="474" t="s">
        <v>1217</v>
      </c>
      <c r="C2090" s="473">
        <v>233</v>
      </c>
      <c r="D2090" s="478">
        <v>12205</v>
      </c>
      <c r="E2090" s="474">
        <v>38943</v>
      </c>
      <c r="F2090" s="475" t="s">
        <v>446</v>
      </c>
      <c r="G2090" s="476">
        <v>69</v>
      </c>
      <c r="H2090" s="475" t="s">
        <v>1372</v>
      </c>
      <c r="I2090" s="487" t="s">
        <v>1373</v>
      </c>
      <c r="J2090" s="510">
        <v>6.61</v>
      </c>
    </row>
    <row r="2091" spans="1:10" ht="20.25" customHeight="1">
      <c r="A2091" s="471">
        <v>5311</v>
      </c>
      <c r="B2091" s="474" t="s">
        <v>1217</v>
      </c>
      <c r="C2091" s="473">
        <v>234</v>
      </c>
      <c r="D2091" s="478">
        <v>12205</v>
      </c>
      <c r="E2091" s="474">
        <v>38943</v>
      </c>
      <c r="F2091" s="475" t="s">
        <v>446</v>
      </c>
      <c r="G2091" s="476">
        <v>69</v>
      </c>
      <c r="H2091" s="475" t="s">
        <v>1372</v>
      </c>
      <c r="I2091" s="487" t="s">
        <v>1373</v>
      </c>
      <c r="J2091" s="510">
        <v>6.61</v>
      </c>
    </row>
    <row r="2092" spans="1:10" ht="20.25" customHeight="1">
      <c r="A2092" s="471">
        <v>5311</v>
      </c>
      <c r="B2092" s="474" t="s">
        <v>1217</v>
      </c>
      <c r="C2092" s="473">
        <v>235</v>
      </c>
      <c r="D2092" s="478">
        <v>12205</v>
      </c>
      <c r="E2092" s="474">
        <v>38943</v>
      </c>
      <c r="F2092" s="475" t="s">
        <v>446</v>
      </c>
      <c r="G2092" s="476">
        <v>69</v>
      </c>
      <c r="H2092" s="475" t="s">
        <v>1372</v>
      </c>
      <c r="I2092" s="487" t="s">
        <v>1373</v>
      </c>
      <c r="J2092" s="510">
        <v>6.61</v>
      </c>
    </row>
    <row r="2093" spans="1:10" ht="20.25" customHeight="1">
      <c r="A2093" s="471">
        <v>5311</v>
      </c>
      <c r="B2093" s="474" t="s">
        <v>1217</v>
      </c>
      <c r="C2093" s="473">
        <v>236</v>
      </c>
      <c r="D2093" s="478">
        <v>12205</v>
      </c>
      <c r="E2093" s="474">
        <v>38943</v>
      </c>
      <c r="F2093" s="475" t="s">
        <v>446</v>
      </c>
      <c r="G2093" s="476">
        <v>69</v>
      </c>
      <c r="H2093" s="475" t="s">
        <v>1372</v>
      </c>
      <c r="I2093" s="487" t="s">
        <v>1373</v>
      </c>
      <c r="J2093" s="510">
        <v>6.61</v>
      </c>
    </row>
    <row r="2094" spans="1:10" ht="20.25" customHeight="1">
      <c r="A2094" s="471">
        <v>5311</v>
      </c>
      <c r="B2094" s="474" t="s">
        <v>1217</v>
      </c>
      <c r="C2094" s="473">
        <v>237</v>
      </c>
      <c r="D2094" s="478">
        <v>12205</v>
      </c>
      <c r="E2094" s="474">
        <v>38943</v>
      </c>
      <c r="F2094" s="475" t="s">
        <v>446</v>
      </c>
      <c r="G2094" s="476">
        <v>69</v>
      </c>
      <c r="H2094" s="475" t="s">
        <v>1372</v>
      </c>
      <c r="I2094" s="487" t="s">
        <v>1373</v>
      </c>
      <c r="J2094" s="510">
        <v>6.61</v>
      </c>
    </row>
    <row r="2095" spans="1:10" ht="20.25" customHeight="1">
      <c r="A2095" s="471">
        <v>5311</v>
      </c>
      <c r="B2095" s="474" t="s">
        <v>1217</v>
      </c>
      <c r="C2095" s="473">
        <v>238</v>
      </c>
      <c r="D2095" s="478">
        <v>12205</v>
      </c>
      <c r="E2095" s="474">
        <v>38943</v>
      </c>
      <c r="F2095" s="475" t="s">
        <v>446</v>
      </c>
      <c r="G2095" s="476">
        <v>69</v>
      </c>
      <c r="H2095" s="475" t="s">
        <v>1372</v>
      </c>
      <c r="I2095" s="487" t="s">
        <v>1373</v>
      </c>
      <c r="J2095" s="510">
        <v>6.61</v>
      </c>
    </row>
    <row r="2096" spans="1:10" ht="20.25" customHeight="1">
      <c r="A2096" s="471">
        <v>5311</v>
      </c>
      <c r="B2096" s="474" t="s">
        <v>1217</v>
      </c>
      <c r="C2096" s="473">
        <v>239</v>
      </c>
      <c r="D2096" s="478">
        <v>12205</v>
      </c>
      <c r="E2096" s="474">
        <v>38943</v>
      </c>
      <c r="F2096" s="475" t="s">
        <v>446</v>
      </c>
      <c r="G2096" s="476">
        <v>69</v>
      </c>
      <c r="H2096" s="475" t="s">
        <v>1372</v>
      </c>
      <c r="I2096" s="487" t="s">
        <v>1373</v>
      </c>
      <c r="J2096" s="510">
        <v>6.61</v>
      </c>
    </row>
    <row r="2097" spans="1:10" ht="20.25" customHeight="1">
      <c r="A2097" s="471">
        <v>5311</v>
      </c>
      <c r="B2097" s="474" t="s">
        <v>1217</v>
      </c>
      <c r="C2097" s="473">
        <v>240</v>
      </c>
      <c r="D2097" s="478">
        <v>12205</v>
      </c>
      <c r="E2097" s="474">
        <v>38943</v>
      </c>
      <c r="F2097" s="475" t="s">
        <v>446</v>
      </c>
      <c r="G2097" s="476">
        <v>69</v>
      </c>
      <c r="H2097" s="475" t="s">
        <v>1372</v>
      </c>
      <c r="I2097" s="487" t="s">
        <v>1373</v>
      </c>
      <c r="J2097" s="510">
        <v>6.61</v>
      </c>
    </row>
    <row r="2098" spans="1:10" ht="20.25" customHeight="1">
      <c r="A2098" s="471">
        <v>5311</v>
      </c>
      <c r="B2098" s="474" t="s">
        <v>1217</v>
      </c>
      <c r="C2098" s="473">
        <v>241</v>
      </c>
      <c r="D2098" s="478">
        <v>12205</v>
      </c>
      <c r="E2098" s="474">
        <v>38943</v>
      </c>
      <c r="F2098" s="475" t="s">
        <v>446</v>
      </c>
      <c r="G2098" s="476">
        <v>69</v>
      </c>
      <c r="H2098" s="475" t="s">
        <v>1372</v>
      </c>
      <c r="I2098" s="487" t="s">
        <v>1373</v>
      </c>
      <c r="J2098" s="510">
        <v>6.61</v>
      </c>
    </row>
    <row r="2099" spans="1:10" ht="20.25" customHeight="1">
      <c r="A2099" s="471">
        <v>5311</v>
      </c>
      <c r="B2099" s="474" t="s">
        <v>1217</v>
      </c>
      <c r="C2099" s="473">
        <v>242</v>
      </c>
      <c r="D2099" s="478">
        <v>12205</v>
      </c>
      <c r="E2099" s="474">
        <v>38943</v>
      </c>
      <c r="F2099" s="475" t="s">
        <v>446</v>
      </c>
      <c r="G2099" s="476">
        <v>69</v>
      </c>
      <c r="H2099" s="475" t="s">
        <v>1372</v>
      </c>
      <c r="I2099" s="487" t="s">
        <v>1373</v>
      </c>
      <c r="J2099" s="510">
        <v>6.61</v>
      </c>
    </row>
    <row r="2100" spans="1:10" ht="20.25" customHeight="1">
      <c r="A2100" s="471">
        <v>5311</v>
      </c>
      <c r="B2100" s="474" t="s">
        <v>1217</v>
      </c>
      <c r="C2100" s="473">
        <v>243</v>
      </c>
      <c r="D2100" s="478">
        <v>12205</v>
      </c>
      <c r="E2100" s="474">
        <v>38943</v>
      </c>
      <c r="F2100" s="475" t="s">
        <v>446</v>
      </c>
      <c r="G2100" s="476">
        <v>69</v>
      </c>
      <c r="H2100" s="475" t="s">
        <v>1372</v>
      </c>
      <c r="I2100" s="487" t="s">
        <v>1373</v>
      </c>
      <c r="J2100" s="510">
        <v>6.61</v>
      </c>
    </row>
    <row r="2101" spans="1:10" ht="20.25" customHeight="1">
      <c r="A2101" s="471">
        <v>5311</v>
      </c>
      <c r="B2101" s="474" t="s">
        <v>1217</v>
      </c>
      <c r="C2101" s="473">
        <v>244</v>
      </c>
      <c r="D2101" s="478">
        <v>12205</v>
      </c>
      <c r="E2101" s="474">
        <v>38943</v>
      </c>
      <c r="F2101" s="475" t="s">
        <v>446</v>
      </c>
      <c r="G2101" s="476">
        <v>69</v>
      </c>
      <c r="H2101" s="475" t="s">
        <v>1372</v>
      </c>
      <c r="I2101" s="487" t="s">
        <v>1373</v>
      </c>
      <c r="J2101" s="510">
        <v>6.61</v>
      </c>
    </row>
    <row r="2102" spans="1:10" ht="20.25" customHeight="1">
      <c r="A2102" s="471">
        <v>5311</v>
      </c>
      <c r="B2102" s="474" t="s">
        <v>1217</v>
      </c>
      <c r="C2102" s="473">
        <v>245</v>
      </c>
      <c r="D2102" s="478">
        <v>12205</v>
      </c>
      <c r="E2102" s="474">
        <v>38943</v>
      </c>
      <c r="F2102" s="475" t="s">
        <v>446</v>
      </c>
      <c r="G2102" s="476">
        <v>69</v>
      </c>
      <c r="H2102" s="475" t="s">
        <v>1372</v>
      </c>
      <c r="I2102" s="487" t="s">
        <v>1373</v>
      </c>
      <c r="J2102" s="510">
        <v>6.61</v>
      </c>
    </row>
    <row r="2103" spans="1:10" ht="20.25" customHeight="1">
      <c r="A2103" s="471">
        <v>5311</v>
      </c>
      <c r="B2103" s="474" t="s">
        <v>1217</v>
      </c>
      <c r="C2103" s="473">
        <v>246</v>
      </c>
      <c r="D2103" s="478">
        <v>12205</v>
      </c>
      <c r="E2103" s="474">
        <v>38943</v>
      </c>
      <c r="F2103" s="475" t="s">
        <v>446</v>
      </c>
      <c r="G2103" s="476">
        <v>69</v>
      </c>
      <c r="H2103" s="475" t="s">
        <v>1372</v>
      </c>
      <c r="I2103" s="487" t="s">
        <v>1373</v>
      </c>
      <c r="J2103" s="510">
        <v>6.61</v>
      </c>
    </row>
    <row r="2104" spans="1:10" ht="20.25" customHeight="1">
      <c r="A2104" s="471">
        <v>5311</v>
      </c>
      <c r="B2104" s="474" t="s">
        <v>1217</v>
      </c>
      <c r="C2104" s="473">
        <v>247</v>
      </c>
      <c r="D2104" s="478">
        <v>12205</v>
      </c>
      <c r="E2104" s="474">
        <v>38943</v>
      </c>
      <c r="F2104" s="475" t="s">
        <v>446</v>
      </c>
      <c r="G2104" s="476">
        <v>69</v>
      </c>
      <c r="H2104" s="475" t="s">
        <v>1372</v>
      </c>
      <c r="I2104" s="487" t="s">
        <v>1373</v>
      </c>
      <c r="J2104" s="510">
        <v>6.61</v>
      </c>
    </row>
    <row r="2105" spans="1:10" ht="20.25" customHeight="1">
      <c r="A2105" s="471">
        <v>5311</v>
      </c>
      <c r="B2105" s="474" t="s">
        <v>1217</v>
      </c>
      <c r="C2105" s="473">
        <v>248</v>
      </c>
      <c r="D2105" s="478">
        <v>12205</v>
      </c>
      <c r="E2105" s="474">
        <v>38943</v>
      </c>
      <c r="F2105" s="475" t="s">
        <v>446</v>
      </c>
      <c r="G2105" s="476">
        <v>69</v>
      </c>
      <c r="H2105" s="475" t="s">
        <v>1372</v>
      </c>
      <c r="I2105" s="487" t="s">
        <v>1373</v>
      </c>
      <c r="J2105" s="510">
        <v>6.61</v>
      </c>
    </row>
    <row r="2106" spans="1:10" ht="20.25" customHeight="1">
      <c r="A2106" s="471">
        <v>5311</v>
      </c>
      <c r="B2106" s="474" t="s">
        <v>1217</v>
      </c>
      <c r="C2106" s="473">
        <v>249</v>
      </c>
      <c r="D2106" s="478">
        <v>12205</v>
      </c>
      <c r="E2106" s="474">
        <v>38943</v>
      </c>
      <c r="F2106" s="475" t="s">
        <v>446</v>
      </c>
      <c r="G2106" s="476">
        <v>69</v>
      </c>
      <c r="H2106" s="475" t="s">
        <v>1372</v>
      </c>
      <c r="I2106" s="487" t="s">
        <v>1373</v>
      </c>
      <c r="J2106" s="510">
        <v>6.61</v>
      </c>
    </row>
    <row r="2107" spans="1:10" ht="20.25" customHeight="1">
      <c r="A2107" s="471">
        <v>5311</v>
      </c>
      <c r="B2107" s="474" t="s">
        <v>1217</v>
      </c>
      <c r="C2107" s="473">
        <v>250</v>
      </c>
      <c r="D2107" s="478">
        <v>12205</v>
      </c>
      <c r="E2107" s="474">
        <v>38943</v>
      </c>
      <c r="F2107" s="475" t="s">
        <v>446</v>
      </c>
      <c r="G2107" s="476">
        <v>69</v>
      </c>
      <c r="H2107" s="475" t="s">
        <v>1372</v>
      </c>
      <c r="I2107" s="487" t="s">
        <v>1373</v>
      </c>
      <c r="J2107" s="510">
        <v>6.61</v>
      </c>
    </row>
    <row r="2108" spans="1:10" ht="20.25" customHeight="1">
      <c r="A2108" s="471">
        <v>5311</v>
      </c>
      <c r="B2108" s="474" t="s">
        <v>1217</v>
      </c>
      <c r="C2108" s="473">
        <v>251</v>
      </c>
      <c r="D2108" s="478">
        <v>12205</v>
      </c>
      <c r="E2108" s="474">
        <v>38943</v>
      </c>
      <c r="F2108" s="475" t="s">
        <v>446</v>
      </c>
      <c r="G2108" s="476">
        <v>69</v>
      </c>
      <c r="H2108" s="475" t="s">
        <v>1372</v>
      </c>
      <c r="I2108" s="487" t="s">
        <v>1373</v>
      </c>
      <c r="J2108" s="510">
        <v>6.61</v>
      </c>
    </row>
    <row r="2109" spans="1:10" ht="20.25" customHeight="1">
      <c r="A2109" s="471">
        <v>5311</v>
      </c>
      <c r="B2109" s="474" t="s">
        <v>1217</v>
      </c>
      <c r="C2109" s="473">
        <v>252</v>
      </c>
      <c r="D2109" s="478">
        <v>12205</v>
      </c>
      <c r="E2109" s="474">
        <v>38943</v>
      </c>
      <c r="F2109" s="475" t="s">
        <v>446</v>
      </c>
      <c r="G2109" s="476">
        <v>69</v>
      </c>
      <c r="H2109" s="475" t="s">
        <v>1372</v>
      </c>
      <c r="I2109" s="487" t="s">
        <v>1373</v>
      </c>
      <c r="J2109" s="510">
        <v>6.61</v>
      </c>
    </row>
    <row r="2110" spans="1:10" ht="20.25" customHeight="1">
      <c r="A2110" s="471">
        <v>5311</v>
      </c>
      <c r="B2110" s="474" t="s">
        <v>1217</v>
      </c>
      <c r="C2110" s="473">
        <v>253</v>
      </c>
      <c r="D2110" s="478">
        <v>12205</v>
      </c>
      <c r="E2110" s="474">
        <v>38943</v>
      </c>
      <c r="F2110" s="475" t="s">
        <v>446</v>
      </c>
      <c r="G2110" s="476">
        <v>69</v>
      </c>
      <c r="H2110" s="475" t="s">
        <v>1372</v>
      </c>
      <c r="I2110" s="487" t="s">
        <v>1373</v>
      </c>
      <c r="J2110" s="510">
        <v>6.61</v>
      </c>
    </row>
    <row r="2111" spans="1:10" ht="20.25" customHeight="1">
      <c r="A2111" s="471">
        <v>5311</v>
      </c>
      <c r="B2111" s="474" t="s">
        <v>1217</v>
      </c>
      <c r="C2111" s="473">
        <v>254</v>
      </c>
      <c r="D2111" s="478">
        <v>12205</v>
      </c>
      <c r="E2111" s="474">
        <v>38943</v>
      </c>
      <c r="F2111" s="475" t="s">
        <v>446</v>
      </c>
      <c r="G2111" s="476">
        <v>69</v>
      </c>
      <c r="H2111" s="475" t="s">
        <v>1372</v>
      </c>
      <c r="I2111" s="487" t="s">
        <v>1373</v>
      </c>
      <c r="J2111" s="510">
        <v>6.61</v>
      </c>
    </row>
    <row r="2112" spans="1:10" ht="20.25" customHeight="1">
      <c r="A2112" s="471">
        <v>5311</v>
      </c>
      <c r="B2112" s="474" t="s">
        <v>1217</v>
      </c>
      <c r="C2112" s="473">
        <v>255</v>
      </c>
      <c r="D2112" s="478">
        <v>12205</v>
      </c>
      <c r="E2112" s="474">
        <v>38943</v>
      </c>
      <c r="F2112" s="475" t="s">
        <v>446</v>
      </c>
      <c r="G2112" s="476">
        <v>69</v>
      </c>
      <c r="H2112" s="475" t="s">
        <v>1372</v>
      </c>
      <c r="I2112" s="487" t="s">
        <v>1373</v>
      </c>
      <c r="J2112" s="510">
        <v>6.61</v>
      </c>
    </row>
    <row r="2113" spans="1:10" ht="20.25" customHeight="1">
      <c r="A2113" s="471">
        <v>5311</v>
      </c>
      <c r="B2113" s="474" t="s">
        <v>1217</v>
      </c>
      <c r="C2113" s="473">
        <v>256</v>
      </c>
      <c r="D2113" s="478">
        <v>12205</v>
      </c>
      <c r="E2113" s="474">
        <v>38943</v>
      </c>
      <c r="F2113" s="475" t="s">
        <v>446</v>
      </c>
      <c r="G2113" s="476">
        <v>69</v>
      </c>
      <c r="H2113" s="475" t="s">
        <v>1372</v>
      </c>
      <c r="I2113" s="487" t="s">
        <v>1373</v>
      </c>
      <c r="J2113" s="510">
        <v>6.61</v>
      </c>
    </row>
    <row r="2114" spans="1:10" ht="20.25" customHeight="1">
      <c r="A2114" s="471">
        <v>5311</v>
      </c>
      <c r="B2114" s="474" t="s">
        <v>1217</v>
      </c>
      <c r="C2114" s="473">
        <v>257</v>
      </c>
      <c r="D2114" s="478">
        <v>12205</v>
      </c>
      <c r="E2114" s="474">
        <v>38943</v>
      </c>
      <c r="F2114" s="475" t="s">
        <v>446</v>
      </c>
      <c r="G2114" s="476">
        <v>69</v>
      </c>
      <c r="H2114" s="475" t="s">
        <v>1372</v>
      </c>
      <c r="I2114" s="487" t="s">
        <v>1373</v>
      </c>
      <c r="J2114" s="510">
        <v>6.61</v>
      </c>
    </row>
    <row r="2115" spans="1:10" ht="20.25" customHeight="1">
      <c r="A2115" s="471">
        <v>5311</v>
      </c>
      <c r="B2115" s="474" t="s">
        <v>1217</v>
      </c>
      <c r="C2115" s="473">
        <v>258</v>
      </c>
      <c r="D2115" s="478">
        <v>12205</v>
      </c>
      <c r="E2115" s="474">
        <v>38943</v>
      </c>
      <c r="F2115" s="475" t="s">
        <v>446</v>
      </c>
      <c r="G2115" s="476">
        <v>69</v>
      </c>
      <c r="H2115" s="475" t="s">
        <v>1372</v>
      </c>
      <c r="I2115" s="487" t="s">
        <v>1373</v>
      </c>
      <c r="J2115" s="510">
        <v>6.61</v>
      </c>
    </row>
    <row r="2116" spans="1:10" ht="20.25" customHeight="1">
      <c r="A2116" s="471">
        <v>5311</v>
      </c>
      <c r="B2116" s="474" t="s">
        <v>1217</v>
      </c>
      <c r="C2116" s="473">
        <v>259</v>
      </c>
      <c r="D2116" s="478">
        <v>12205</v>
      </c>
      <c r="E2116" s="474">
        <v>38943</v>
      </c>
      <c r="F2116" s="475" t="s">
        <v>446</v>
      </c>
      <c r="G2116" s="476">
        <v>69</v>
      </c>
      <c r="H2116" s="475" t="s">
        <v>1372</v>
      </c>
      <c r="I2116" s="487" t="s">
        <v>1373</v>
      </c>
      <c r="J2116" s="510">
        <v>6.61</v>
      </c>
    </row>
    <row r="2117" spans="1:10" ht="20.25" customHeight="1">
      <c r="A2117" s="471">
        <v>5311</v>
      </c>
      <c r="B2117" s="474" t="s">
        <v>1217</v>
      </c>
      <c r="C2117" s="473">
        <v>260</v>
      </c>
      <c r="D2117" s="478">
        <v>12205</v>
      </c>
      <c r="E2117" s="474">
        <v>38943</v>
      </c>
      <c r="F2117" s="475" t="s">
        <v>446</v>
      </c>
      <c r="G2117" s="476">
        <v>69</v>
      </c>
      <c r="H2117" s="475" t="s">
        <v>1372</v>
      </c>
      <c r="I2117" s="487" t="s">
        <v>1373</v>
      </c>
      <c r="J2117" s="510">
        <v>6.61</v>
      </c>
    </row>
    <row r="2118" spans="1:10" ht="20.25" customHeight="1">
      <c r="A2118" s="471">
        <v>5311</v>
      </c>
      <c r="B2118" s="474" t="s">
        <v>1217</v>
      </c>
      <c r="C2118" s="473">
        <v>261</v>
      </c>
      <c r="D2118" s="478">
        <v>12205</v>
      </c>
      <c r="E2118" s="474">
        <v>38943</v>
      </c>
      <c r="F2118" s="475" t="s">
        <v>446</v>
      </c>
      <c r="G2118" s="476">
        <v>69</v>
      </c>
      <c r="H2118" s="475" t="s">
        <v>1372</v>
      </c>
      <c r="I2118" s="487" t="s">
        <v>1373</v>
      </c>
      <c r="J2118" s="510">
        <v>6.61</v>
      </c>
    </row>
    <row r="2119" spans="1:10" ht="20.25" customHeight="1">
      <c r="A2119" s="471">
        <v>5311</v>
      </c>
      <c r="B2119" s="474" t="s">
        <v>1217</v>
      </c>
      <c r="C2119" s="473">
        <v>262</v>
      </c>
      <c r="D2119" s="478">
        <v>12205</v>
      </c>
      <c r="E2119" s="474">
        <v>38943</v>
      </c>
      <c r="F2119" s="475" t="s">
        <v>446</v>
      </c>
      <c r="G2119" s="476">
        <v>69</v>
      </c>
      <c r="H2119" s="475" t="s">
        <v>1372</v>
      </c>
      <c r="I2119" s="487" t="s">
        <v>1373</v>
      </c>
      <c r="J2119" s="510">
        <v>6.61</v>
      </c>
    </row>
    <row r="2120" spans="1:10" ht="20.25" customHeight="1">
      <c r="A2120" s="471">
        <v>5311</v>
      </c>
      <c r="B2120" s="474" t="s">
        <v>1217</v>
      </c>
      <c r="C2120" s="473">
        <v>263</v>
      </c>
      <c r="D2120" s="478">
        <v>12205</v>
      </c>
      <c r="E2120" s="474">
        <v>38943</v>
      </c>
      <c r="F2120" s="475" t="s">
        <v>446</v>
      </c>
      <c r="G2120" s="476">
        <v>69</v>
      </c>
      <c r="H2120" s="475" t="s">
        <v>1372</v>
      </c>
      <c r="I2120" s="487" t="s">
        <v>1373</v>
      </c>
      <c r="J2120" s="510">
        <v>6.61</v>
      </c>
    </row>
    <row r="2121" spans="1:10" ht="20.25" customHeight="1">
      <c r="A2121" s="471">
        <v>5311</v>
      </c>
      <c r="B2121" s="474" t="s">
        <v>1217</v>
      </c>
      <c r="C2121" s="473">
        <v>264</v>
      </c>
      <c r="D2121" s="478">
        <v>12205</v>
      </c>
      <c r="E2121" s="474">
        <v>38943</v>
      </c>
      <c r="F2121" s="475" t="s">
        <v>446</v>
      </c>
      <c r="G2121" s="476">
        <v>69</v>
      </c>
      <c r="H2121" s="475" t="s">
        <v>1372</v>
      </c>
      <c r="I2121" s="487" t="s">
        <v>1373</v>
      </c>
      <c r="J2121" s="510">
        <v>6.61</v>
      </c>
    </row>
    <row r="2122" spans="1:10" ht="20.25" customHeight="1">
      <c r="A2122" s="471">
        <v>5311</v>
      </c>
      <c r="B2122" s="474" t="s">
        <v>1217</v>
      </c>
      <c r="C2122" s="473">
        <v>265</v>
      </c>
      <c r="D2122" s="478">
        <v>12205</v>
      </c>
      <c r="E2122" s="474">
        <v>38943</v>
      </c>
      <c r="F2122" s="475" t="s">
        <v>446</v>
      </c>
      <c r="G2122" s="476">
        <v>69</v>
      </c>
      <c r="H2122" s="475" t="s">
        <v>1372</v>
      </c>
      <c r="I2122" s="487" t="s">
        <v>1373</v>
      </c>
      <c r="J2122" s="510">
        <v>6.61</v>
      </c>
    </row>
    <row r="2123" spans="1:10" ht="20.25" customHeight="1">
      <c r="A2123" s="471">
        <v>5311</v>
      </c>
      <c r="B2123" s="474" t="s">
        <v>1217</v>
      </c>
      <c r="C2123" s="473">
        <v>266</v>
      </c>
      <c r="D2123" s="478">
        <v>12205</v>
      </c>
      <c r="E2123" s="474">
        <v>38943</v>
      </c>
      <c r="F2123" s="475" t="s">
        <v>446</v>
      </c>
      <c r="G2123" s="476">
        <v>69</v>
      </c>
      <c r="H2123" s="475" t="s">
        <v>1372</v>
      </c>
      <c r="I2123" s="487" t="s">
        <v>1373</v>
      </c>
      <c r="J2123" s="510">
        <v>6.61</v>
      </c>
    </row>
    <row r="2124" spans="1:10" ht="20.25" customHeight="1">
      <c r="A2124" s="471">
        <v>5311</v>
      </c>
      <c r="B2124" s="474" t="s">
        <v>1217</v>
      </c>
      <c r="C2124" s="473">
        <v>267</v>
      </c>
      <c r="D2124" s="478">
        <v>12205</v>
      </c>
      <c r="E2124" s="474">
        <v>38943</v>
      </c>
      <c r="F2124" s="475" t="s">
        <v>446</v>
      </c>
      <c r="G2124" s="476">
        <v>69</v>
      </c>
      <c r="H2124" s="475" t="s">
        <v>1372</v>
      </c>
      <c r="I2124" s="487" t="s">
        <v>1373</v>
      </c>
      <c r="J2124" s="510">
        <v>6.61</v>
      </c>
    </row>
    <row r="2125" spans="1:10" ht="20.25" customHeight="1">
      <c r="A2125" s="471">
        <v>5311</v>
      </c>
      <c r="B2125" s="474" t="s">
        <v>1217</v>
      </c>
      <c r="C2125" s="473">
        <v>268</v>
      </c>
      <c r="D2125" s="478">
        <v>12205</v>
      </c>
      <c r="E2125" s="474">
        <v>38943</v>
      </c>
      <c r="F2125" s="475" t="s">
        <v>446</v>
      </c>
      <c r="G2125" s="476">
        <v>69</v>
      </c>
      <c r="H2125" s="475" t="s">
        <v>1372</v>
      </c>
      <c r="I2125" s="487" t="s">
        <v>1373</v>
      </c>
      <c r="J2125" s="510">
        <v>6.61</v>
      </c>
    </row>
    <row r="2126" spans="1:10" ht="20.25" customHeight="1">
      <c r="A2126" s="471">
        <v>5311</v>
      </c>
      <c r="B2126" s="474" t="s">
        <v>1217</v>
      </c>
      <c r="C2126" s="473">
        <v>269</v>
      </c>
      <c r="D2126" s="478">
        <v>12205</v>
      </c>
      <c r="E2126" s="474">
        <v>38943</v>
      </c>
      <c r="F2126" s="475" t="s">
        <v>446</v>
      </c>
      <c r="G2126" s="476">
        <v>69</v>
      </c>
      <c r="H2126" s="475" t="s">
        <v>1372</v>
      </c>
      <c r="I2126" s="487" t="s">
        <v>1373</v>
      </c>
      <c r="J2126" s="510">
        <v>6.61</v>
      </c>
    </row>
    <row r="2127" spans="1:10" ht="20.25" customHeight="1">
      <c r="A2127" s="471">
        <v>5311</v>
      </c>
      <c r="B2127" s="474" t="s">
        <v>1217</v>
      </c>
      <c r="C2127" s="473">
        <v>270</v>
      </c>
      <c r="D2127" s="478">
        <v>12205</v>
      </c>
      <c r="E2127" s="474">
        <v>38943</v>
      </c>
      <c r="F2127" s="475" t="s">
        <v>446</v>
      </c>
      <c r="G2127" s="476">
        <v>69</v>
      </c>
      <c r="H2127" s="475" t="s">
        <v>1372</v>
      </c>
      <c r="I2127" s="487" t="s">
        <v>1373</v>
      </c>
      <c r="J2127" s="510">
        <v>6.61</v>
      </c>
    </row>
    <row r="2128" spans="1:10" ht="20.25" customHeight="1">
      <c r="A2128" s="471">
        <v>5311</v>
      </c>
      <c r="B2128" s="474" t="s">
        <v>1217</v>
      </c>
      <c r="C2128" s="473">
        <v>271</v>
      </c>
      <c r="D2128" s="478">
        <v>12205</v>
      </c>
      <c r="E2128" s="474">
        <v>38943</v>
      </c>
      <c r="F2128" s="475" t="s">
        <v>446</v>
      </c>
      <c r="G2128" s="476">
        <v>69</v>
      </c>
      <c r="H2128" s="475" t="s">
        <v>1372</v>
      </c>
      <c r="I2128" s="487" t="s">
        <v>1373</v>
      </c>
      <c r="J2128" s="510">
        <v>6.61</v>
      </c>
    </row>
    <row r="2129" spans="1:10" ht="20.25" customHeight="1">
      <c r="A2129" s="471">
        <v>5311</v>
      </c>
      <c r="B2129" s="474" t="s">
        <v>1217</v>
      </c>
      <c r="C2129" s="473">
        <v>272</v>
      </c>
      <c r="D2129" s="478">
        <v>12205</v>
      </c>
      <c r="E2129" s="474">
        <v>38943</v>
      </c>
      <c r="F2129" s="475" t="s">
        <v>446</v>
      </c>
      <c r="G2129" s="476">
        <v>69</v>
      </c>
      <c r="H2129" s="475" t="s">
        <v>1372</v>
      </c>
      <c r="I2129" s="487" t="s">
        <v>1373</v>
      </c>
      <c r="J2129" s="510">
        <v>6.61</v>
      </c>
    </row>
    <row r="2130" spans="1:10" ht="20.25" customHeight="1">
      <c r="A2130" s="471">
        <v>5311</v>
      </c>
      <c r="B2130" s="474" t="s">
        <v>1217</v>
      </c>
      <c r="C2130" s="473">
        <v>273</v>
      </c>
      <c r="D2130" s="478">
        <v>12205</v>
      </c>
      <c r="E2130" s="474">
        <v>38943</v>
      </c>
      <c r="F2130" s="475" t="s">
        <v>446</v>
      </c>
      <c r="G2130" s="476">
        <v>69</v>
      </c>
      <c r="H2130" s="475" t="s">
        <v>1372</v>
      </c>
      <c r="I2130" s="487" t="s">
        <v>1373</v>
      </c>
      <c r="J2130" s="510">
        <v>6.61</v>
      </c>
    </row>
    <row r="2131" spans="1:10" ht="20.25" customHeight="1">
      <c r="A2131" s="471">
        <v>5311</v>
      </c>
      <c r="B2131" s="474" t="s">
        <v>1217</v>
      </c>
      <c r="C2131" s="473">
        <v>274</v>
      </c>
      <c r="D2131" s="478">
        <v>12205</v>
      </c>
      <c r="E2131" s="474">
        <v>38943</v>
      </c>
      <c r="F2131" s="475" t="s">
        <v>446</v>
      </c>
      <c r="G2131" s="476">
        <v>69</v>
      </c>
      <c r="H2131" s="475" t="s">
        <v>1372</v>
      </c>
      <c r="I2131" s="487" t="s">
        <v>1373</v>
      </c>
      <c r="J2131" s="510">
        <v>6.61</v>
      </c>
    </row>
    <row r="2132" spans="1:10" ht="20.25" customHeight="1">
      <c r="A2132" s="471">
        <v>5311</v>
      </c>
      <c r="B2132" s="474" t="s">
        <v>1217</v>
      </c>
      <c r="C2132" s="473">
        <v>275</v>
      </c>
      <c r="D2132" s="478">
        <v>12205</v>
      </c>
      <c r="E2132" s="474">
        <v>38943</v>
      </c>
      <c r="F2132" s="475" t="s">
        <v>446</v>
      </c>
      <c r="G2132" s="476">
        <v>69</v>
      </c>
      <c r="H2132" s="475" t="s">
        <v>1372</v>
      </c>
      <c r="I2132" s="487" t="s">
        <v>1373</v>
      </c>
      <c r="J2132" s="510">
        <v>6.61</v>
      </c>
    </row>
    <row r="2133" spans="1:10" ht="20.25" customHeight="1">
      <c r="A2133" s="471">
        <v>5311</v>
      </c>
      <c r="B2133" s="474" t="s">
        <v>1217</v>
      </c>
      <c r="C2133" s="473">
        <v>276</v>
      </c>
      <c r="D2133" s="478">
        <v>12205</v>
      </c>
      <c r="E2133" s="474">
        <v>38943</v>
      </c>
      <c r="F2133" s="475" t="s">
        <v>446</v>
      </c>
      <c r="G2133" s="476">
        <v>69</v>
      </c>
      <c r="H2133" s="475" t="s">
        <v>1372</v>
      </c>
      <c r="I2133" s="487" t="s">
        <v>1373</v>
      </c>
      <c r="J2133" s="510">
        <v>6.61</v>
      </c>
    </row>
    <row r="2134" spans="1:10" ht="20.25" customHeight="1">
      <c r="A2134" s="471">
        <v>5311</v>
      </c>
      <c r="B2134" s="474" t="s">
        <v>1217</v>
      </c>
      <c r="C2134" s="473">
        <v>277</v>
      </c>
      <c r="D2134" s="478">
        <v>12205</v>
      </c>
      <c r="E2134" s="474">
        <v>38943</v>
      </c>
      <c r="F2134" s="475" t="s">
        <v>446</v>
      </c>
      <c r="G2134" s="476">
        <v>69</v>
      </c>
      <c r="H2134" s="475" t="s">
        <v>1372</v>
      </c>
      <c r="I2134" s="487" t="s">
        <v>1373</v>
      </c>
      <c r="J2134" s="510">
        <v>6.61</v>
      </c>
    </row>
    <row r="2135" spans="1:10" ht="20.25" customHeight="1">
      <c r="A2135" s="471">
        <v>5311</v>
      </c>
      <c r="B2135" s="474" t="s">
        <v>1217</v>
      </c>
      <c r="C2135" s="473">
        <v>278</v>
      </c>
      <c r="D2135" s="478">
        <v>12205</v>
      </c>
      <c r="E2135" s="474">
        <v>38943</v>
      </c>
      <c r="F2135" s="475" t="s">
        <v>446</v>
      </c>
      <c r="G2135" s="476">
        <v>69</v>
      </c>
      <c r="H2135" s="475" t="s">
        <v>1372</v>
      </c>
      <c r="I2135" s="487" t="s">
        <v>1373</v>
      </c>
      <c r="J2135" s="510">
        <v>6.61</v>
      </c>
    </row>
    <row r="2136" spans="1:10" ht="20.25" customHeight="1">
      <c r="A2136" s="471">
        <v>5311</v>
      </c>
      <c r="B2136" s="474" t="s">
        <v>1217</v>
      </c>
      <c r="C2136" s="473">
        <v>279</v>
      </c>
      <c r="D2136" s="478">
        <v>12205</v>
      </c>
      <c r="E2136" s="474">
        <v>38943</v>
      </c>
      <c r="F2136" s="475" t="s">
        <v>446</v>
      </c>
      <c r="G2136" s="476">
        <v>69</v>
      </c>
      <c r="H2136" s="475" t="s">
        <v>1372</v>
      </c>
      <c r="I2136" s="487" t="s">
        <v>1373</v>
      </c>
      <c r="J2136" s="510">
        <v>6.61</v>
      </c>
    </row>
    <row r="2137" spans="1:10" ht="20.25" customHeight="1">
      <c r="A2137" s="471">
        <v>5311</v>
      </c>
      <c r="B2137" s="474" t="s">
        <v>1217</v>
      </c>
      <c r="C2137" s="473">
        <v>280</v>
      </c>
      <c r="D2137" s="478">
        <v>12205</v>
      </c>
      <c r="E2137" s="474">
        <v>38943</v>
      </c>
      <c r="F2137" s="475" t="s">
        <v>446</v>
      </c>
      <c r="G2137" s="476">
        <v>69</v>
      </c>
      <c r="H2137" s="475" t="s">
        <v>1372</v>
      </c>
      <c r="I2137" s="487" t="s">
        <v>1373</v>
      </c>
      <c r="J2137" s="510">
        <v>6.61</v>
      </c>
    </row>
    <row r="2138" spans="1:10" ht="20.25" customHeight="1">
      <c r="A2138" s="471">
        <v>5311</v>
      </c>
      <c r="B2138" s="474" t="s">
        <v>1217</v>
      </c>
      <c r="C2138" s="473">
        <v>281</v>
      </c>
      <c r="D2138" s="478">
        <v>12205</v>
      </c>
      <c r="E2138" s="474">
        <v>38943</v>
      </c>
      <c r="F2138" s="475" t="s">
        <v>446</v>
      </c>
      <c r="G2138" s="476">
        <v>69</v>
      </c>
      <c r="H2138" s="475" t="s">
        <v>1372</v>
      </c>
      <c r="I2138" s="487" t="s">
        <v>1373</v>
      </c>
      <c r="J2138" s="510">
        <v>6.61</v>
      </c>
    </row>
    <row r="2139" spans="1:10" ht="20.25" customHeight="1">
      <c r="A2139" s="471">
        <v>5311</v>
      </c>
      <c r="B2139" s="474" t="s">
        <v>1217</v>
      </c>
      <c r="C2139" s="473">
        <v>282</v>
      </c>
      <c r="D2139" s="478">
        <v>12205</v>
      </c>
      <c r="E2139" s="474">
        <v>38943</v>
      </c>
      <c r="F2139" s="475" t="s">
        <v>446</v>
      </c>
      <c r="G2139" s="476">
        <v>69</v>
      </c>
      <c r="H2139" s="475" t="s">
        <v>1372</v>
      </c>
      <c r="I2139" s="487" t="s">
        <v>1373</v>
      </c>
      <c r="J2139" s="510">
        <v>6.61</v>
      </c>
    </row>
    <row r="2140" spans="1:10" ht="20.25" customHeight="1">
      <c r="A2140" s="471">
        <v>5311</v>
      </c>
      <c r="B2140" s="474" t="s">
        <v>1217</v>
      </c>
      <c r="C2140" s="473">
        <v>283</v>
      </c>
      <c r="D2140" s="478">
        <v>12205</v>
      </c>
      <c r="E2140" s="474">
        <v>38943</v>
      </c>
      <c r="F2140" s="475" t="s">
        <v>446</v>
      </c>
      <c r="G2140" s="476">
        <v>69</v>
      </c>
      <c r="H2140" s="475" t="s">
        <v>1372</v>
      </c>
      <c r="I2140" s="487" t="s">
        <v>1373</v>
      </c>
      <c r="J2140" s="510">
        <v>6.61</v>
      </c>
    </row>
    <row r="2141" spans="1:10" ht="20.25" customHeight="1">
      <c r="A2141" s="471">
        <v>5311</v>
      </c>
      <c r="B2141" s="474" t="s">
        <v>1217</v>
      </c>
      <c r="C2141" s="473">
        <v>284</v>
      </c>
      <c r="D2141" s="478">
        <v>12205</v>
      </c>
      <c r="E2141" s="474">
        <v>38943</v>
      </c>
      <c r="F2141" s="475" t="s">
        <v>446</v>
      </c>
      <c r="G2141" s="476">
        <v>69</v>
      </c>
      <c r="H2141" s="475" t="s">
        <v>1372</v>
      </c>
      <c r="I2141" s="487" t="s">
        <v>1373</v>
      </c>
      <c r="J2141" s="510">
        <v>6.61</v>
      </c>
    </row>
    <row r="2142" spans="1:10" ht="20.25" customHeight="1">
      <c r="A2142" s="471">
        <v>5311</v>
      </c>
      <c r="B2142" s="474" t="s">
        <v>1217</v>
      </c>
      <c r="C2142" s="473">
        <v>285</v>
      </c>
      <c r="D2142" s="478">
        <v>12205</v>
      </c>
      <c r="E2142" s="474">
        <v>38943</v>
      </c>
      <c r="F2142" s="475" t="s">
        <v>446</v>
      </c>
      <c r="G2142" s="476">
        <v>69</v>
      </c>
      <c r="H2142" s="475" t="s">
        <v>1372</v>
      </c>
      <c r="I2142" s="487" t="s">
        <v>1373</v>
      </c>
      <c r="J2142" s="510">
        <v>6.61</v>
      </c>
    </row>
    <row r="2143" spans="1:10" ht="20.25" customHeight="1">
      <c r="A2143" s="471">
        <v>5311</v>
      </c>
      <c r="B2143" s="474" t="s">
        <v>1217</v>
      </c>
      <c r="C2143" s="473">
        <v>286</v>
      </c>
      <c r="D2143" s="478">
        <v>12205</v>
      </c>
      <c r="E2143" s="474">
        <v>38943</v>
      </c>
      <c r="F2143" s="475" t="s">
        <v>446</v>
      </c>
      <c r="G2143" s="476">
        <v>69</v>
      </c>
      <c r="H2143" s="475" t="s">
        <v>1372</v>
      </c>
      <c r="I2143" s="487" t="s">
        <v>1373</v>
      </c>
      <c r="J2143" s="510">
        <v>6.61</v>
      </c>
    </row>
    <row r="2144" spans="1:10" ht="20.25" customHeight="1">
      <c r="A2144" s="471">
        <v>5311</v>
      </c>
      <c r="B2144" s="474" t="s">
        <v>1217</v>
      </c>
      <c r="C2144" s="473">
        <v>287</v>
      </c>
      <c r="D2144" s="478">
        <v>12205</v>
      </c>
      <c r="E2144" s="474">
        <v>38943</v>
      </c>
      <c r="F2144" s="475" t="s">
        <v>446</v>
      </c>
      <c r="G2144" s="476">
        <v>69</v>
      </c>
      <c r="H2144" s="475" t="s">
        <v>1372</v>
      </c>
      <c r="I2144" s="487" t="s">
        <v>1373</v>
      </c>
      <c r="J2144" s="510">
        <v>6.61</v>
      </c>
    </row>
    <row r="2145" spans="1:10" ht="20.25" customHeight="1">
      <c r="A2145" s="471">
        <v>5311</v>
      </c>
      <c r="B2145" s="474" t="s">
        <v>1217</v>
      </c>
      <c r="C2145" s="473">
        <v>288</v>
      </c>
      <c r="D2145" s="478">
        <v>12205</v>
      </c>
      <c r="E2145" s="474">
        <v>38943</v>
      </c>
      <c r="F2145" s="475" t="s">
        <v>446</v>
      </c>
      <c r="G2145" s="476">
        <v>69</v>
      </c>
      <c r="H2145" s="475" t="s">
        <v>1372</v>
      </c>
      <c r="I2145" s="487" t="s">
        <v>1373</v>
      </c>
      <c r="J2145" s="510">
        <v>6.61</v>
      </c>
    </row>
    <row r="2146" spans="1:10" ht="20.25" customHeight="1">
      <c r="A2146" s="471">
        <v>5311</v>
      </c>
      <c r="B2146" s="474" t="s">
        <v>1217</v>
      </c>
      <c r="C2146" s="473">
        <v>289</v>
      </c>
      <c r="D2146" s="478">
        <v>12205</v>
      </c>
      <c r="E2146" s="474">
        <v>38943</v>
      </c>
      <c r="F2146" s="475" t="s">
        <v>446</v>
      </c>
      <c r="G2146" s="476">
        <v>69</v>
      </c>
      <c r="H2146" s="475" t="s">
        <v>1372</v>
      </c>
      <c r="I2146" s="487" t="s">
        <v>1373</v>
      </c>
      <c r="J2146" s="510">
        <v>6.61</v>
      </c>
    </row>
    <row r="2147" spans="1:10" ht="20.25" customHeight="1">
      <c r="A2147" s="471">
        <v>5311</v>
      </c>
      <c r="B2147" s="474" t="s">
        <v>1217</v>
      </c>
      <c r="C2147" s="473">
        <v>290</v>
      </c>
      <c r="D2147" s="478">
        <v>12205</v>
      </c>
      <c r="E2147" s="474">
        <v>38943</v>
      </c>
      <c r="F2147" s="475" t="s">
        <v>446</v>
      </c>
      <c r="G2147" s="476">
        <v>69</v>
      </c>
      <c r="H2147" s="475" t="s">
        <v>1372</v>
      </c>
      <c r="I2147" s="487" t="s">
        <v>1373</v>
      </c>
      <c r="J2147" s="510">
        <v>6.61</v>
      </c>
    </row>
    <row r="2148" spans="1:10" ht="20.25" customHeight="1">
      <c r="A2148" s="471">
        <v>5311</v>
      </c>
      <c r="B2148" s="474" t="s">
        <v>1217</v>
      </c>
      <c r="C2148" s="473">
        <v>291</v>
      </c>
      <c r="D2148" s="478">
        <v>12205</v>
      </c>
      <c r="E2148" s="474">
        <v>38943</v>
      </c>
      <c r="F2148" s="475" t="s">
        <v>446</v>
      </c>
      <c r="G2148" s="476">
        <v>69</v>
      </c>
      <c r="H2148" s="475" t="s">
        <v>1372</v>
      </c>
      <c r="I2148" s="487" t="s">
        <v>1373</v>
      </c>
      <c r="J2148" s="510">
        <v>6.61</v>
      </c>
    </row>
    <row r="2149" spans="1:10" ht="20.25" customHeight="1">
      <c r="A2149" s="471">
        <v>5311</v>
      </c>
      <c r="B2149" s="474" t="s">
        <v>1217</v>
      </c>
      <c r="C2149" s="473">
        <v>292</v>
      </c>
      <c r="D2149" s="478">
        <v>12205</v>
      </c>
      <c r="E2149" s="474">
        <v>38943</v>
      </c>
      <c r="F2149" s="475" t="s">
        <v>446</v>
      </c>
      <c r="G2149" s="476">
        <v>69</v>
      </c>
      <c r="H2149" s="475" t="s">
        <v>1372</v>
      </c>
      <c r="I2149" s="487" t="s">
        <v>1373</v>
      </c>
      <c r="J2149" s="510">
        <v>6.61</v>
      </c>
    </row>
    <row r="2150" spans="1:10" ht="20.25" customHeight="1">
      <c r="A2150" s="471">
        <v>5311</v>
      </c>
      <c r="B2150" s="474" t="s">
        <v>1217</v>
      </c>
      <c r="C2150" s="473">
        <v>293</v>
      </c>
      <c r="D2150" s="478">
        <v>12205</v>
      </c>
      <c r="E2150" s="474">
        <v>38943</v>
      </c>
      <c r="F2150" s="475" t="s">
        <v>446</v>
      </c>
      <c r="G2150" s="476">
        <v>69</v>
      </c>
      <c r="H2150" s="475" t="s">
        <v>1372</v>
      </c>
      <c r="I2150" s="487" t="s">
        <v>1373</v>
      </c>
      <c r="J2150" s="510">
        <v>6.61</v>
      </c>
    </row>
    <row r="2151" spans="1:10" ht="20.25" customHeight="1">
      <c r="A2151" s="471">
        <v>5311</v>
      </c>
      <c r="B2151" s="474" t="s">
        <v>1217</v>
      </c>
      <c r="C2151" s="473">
        <v>294</v>
      </c>
      <c r="D2151" s="478">
        <v>12205</v>
      </c>
      <c r="E2151" s="474">
        <v>38943</v>
      </c>
      <c r="F2151" s="475" t="s">
        <v>446</v>
      </c>
      <c r="G2151" s="476">
        <v>69</v>
      </c>
      <c r="H2151" s="475" t="s">
        <v>1372</v>
      </c>
      <c r="I2151" s="487" t="s">
        <v>1373</v>
      </c>
      <c r="J2151" s="510">
        <v>6.61</v>
      </c>
    </row>
    <row r="2152" spans="1:10" ht="20.25" customHeight="1">
      <c r="A2152" s="471">
        <v>5311</v>
      </c>
      <c r="B2152" s="474" t="s">
        <v>1217</v>
      </c>
      <c r="C2152" s="473">
        <v>295</v>
      </c>
      <c r="D2152" s="478">
        <v>12205</v>
      </c>
      <c r="E2152" s="474">
        <v>38943</v>
      </c>
      <c r="F2152" s="475" t="s">
        <v>446</v>
      </c>
      <c r="G2152" s="476">
        <v>69</v>
      </c>
      <c r="H2152" s="475" t="s">
        <v>1372</v>
      </c>
      <c r="I2152" s="487" t="s">
        <v>1373</v>
      </c>
      <c r="J2152" s="510">
        <v>6.61</v>
      </c>
    </row>
    <row r="2153" spans="1:10" ht="20.25" customHeight="1">
      <c r="A2153" s="471">
        <v>5311</v>
      </c>
      <c r="B2153" s="474" t="s">
        <v>1217</v>
      </c>
      <c r="C2153" s="473">
        <v>296</v>
      </c>
      <c r="D2153" s="478">
        <v>12205</v>
      </c>
      <c r="E2153" s="474">
        <v>38943</v>
      </c>
      <c r="F2153" s="475" t="s">
        <v>446</v>
      </c>
      <c r="G2153" s="476">
        <v>69</v>
      </c>
      <c r="H2153" s="475" t="s">
        <v>1372</v>
      </c>
      <c r="I2153" s="487" t="s">
        <v>1373</v>
      </c>
      <c r="J2153" s="510">
        <v>6.61</v>
      </c>
    </row>
    <row r="2154" spans="1:10" ht="20.25" customHeight="1">
      <c r="A2154" s="471">
        <v>5311</v>
      </c>
      <c r="B2154" s="474" t="s">
        <v>1217</v>
      </c>
      <c r="C2154" s="473">
        <v>297</v>
      </c>
      <c r="D2154" s="478">
        <v>12205</v>
      </c>
      <c r="E2154" s="474">
        <v>38943</v>
      </c>
      <c r="F2154" s="475" t="s">
        <v>446</v>
      </c>
      <c r="G2154" s="476">
        <v>69</v>
      </c>
      <c r="H2154" s="475" t="s">
        <v>1372</v>
      </c>
      <c r="I2154" s="487" t="s">
        <v>1373</v>
      </c>
      <c r="J2154" s="510">
        <v>6.61</v>
      </c>
    </row>
    <row r="2155" spans="1:10" ht="20.25" customHeight="1">
      <c r="A2155" s="471">
        <v>5311</v>
      </c>
      <c r="B2155" s="474" t="s">
        <v>1217</v>
      </c>
      <c r="C2155" s="473">
        <v>298</v>
      </c>
      <c r="D2155" s="478">
        <v>12205</v>
      </c>
      <c r="E2155" s="474">
        <v>38943</v>
      </c>
      <c r="F2155" s="475" t="s">
        <v>446</v>
      </c>
      <c r="G2155" s="476">
        <v>69</v>
      </c>
      <c r="H2155" s="475" t="s">
        <v>1372</v>
      </c>
      <c r="I2155" s="487" t="s">
        <v>1373</v>
      </c>
      <c r="J2155" s="510">
        <v>6.61</v>
      </c>
    </row>
    <row r="2156" spans="1:10" ht="20.25" customHeight="1">
      <c r="A2156" s="471">
        <v>5311</v>
      </c>
      <c r="B2156" s="474" t="s">
        <v>1217</v>
      </c>
      <c r="C2156" s="473">
        <v>299</v>
      </c>
      <c r="D2156" s="478">
        <v>12205</v>
      </c>
      <c r="E2156" s="474">
        <v>38943</v>
      </c>
      <c r="F2156" s="475" t="s">
        <v>446</v>
      </c>
      <c r="G2156" s="476">
        <v>69</v>
      </c>
      <c r="H2156" s="475" t="s">
        <v>1372</v>
      </c>
      <c r="I2156" s="487" t="s">
        <v>1373</v>
      </c>
      <c r="J2156" s="510">
        <v>6.61</v>
      </c>
    </row>
    <row r="2157" spans="1:10" ht="20.25" customHeight="1">
      <c r="A2157" s="471">
        <v>5311</v>
      </c>
      <c r="B2157" s="474" t="s">
        <v>1217</v>
      </c>
      <c r="C2157" s="473">
        <v>300</v>
      </c>
      <c r="D2157" s="478">
        <v>12205</v>
      </c>
      <c r="E2157" s="474">
        <v>38943</v>
      </c>
      <c r="F2157" s="475" t="s">
        <v>446</v>
      </c>
      <c r="G2157" s="476">
        <v>69</v>
      </c>
      <c r="H2157" s="475" t="s">
        <v>1372</v>
      </c>
      <c r="I2157" s="487" t="s">
        <v>1373</v>
      </c>
      <c r="J2157" s="510">
        <v>6.61</v>
      </c>
    </row>
    <row r="2158" spans="1:10" ht="20.25" customHeight="1">
      <c r="A2158" s="471">
        <v>5311</v>
      </c>
      <c r="B2158" s="474" t="s">
        <v>1217</v>
      </c>
      <c r="C2158" s="473">
        <v>301</v>
      </c>
      <c r="D2158" s="478">
        <v>12205</v>
      </c>
      <c r="E2158" s="474">
        <v>38943</v>
      </c>
      <c r="F2158" s="475" t="s">
        <v>446</v>
      </c>
      <c r="G2158" s="476">
        <v>69</v>
      </c>
      <c r="H2158" s="475" t="s">
        <v>1372</v>
      </c>
      <c r="I2158" s="487" t="s">
        <v>1373</v>
      </c>
      <c r="J2158" s="510">
        <v>6.61</v>
      </c>
    </row>
    <row r="2159" spans="1:10" ht="20.25" customHeight="1">
      <c r="A2159" s="471">
        <v>5311</v>
      </c>
      <c r="B2159" s="474" t="s">
        <v>1217</v>
      </c>
      <c r="C2159" s="473">
        <v>302</v>
      </c>
      <c r="D2159" s="478">
        <v>12205</v>
      </c>
      <c r="E2159" s="474">
        <v>38943</v>
      </c>
      <c r="F2159" s="475" t="s">
        <v>446</v>
      </c>
      <c r="G2159" s="476">
        <v>69</v>
      </c>
      <c r="H2159" s="475" t="s">
        <v>1372</v>
      </c>
      <c r="I2159" s="487" t="s">
        <v>1373</v>
      </c>
      <c r="J2159" s="510">
        <v>6.61</v>
      </c>
    </row>
    <row r="2160" spans="1:10" ht="20.25" customHeight="1">
      <c r="A2160" s="471">
        <v>5311</v>
      </c>
      <c r="B2160" s="474" t="s">
        <v>1217</v>
      </c>
      <c r="C2160" s="473">
        <v>303</v>
      </c>
      <c r="D2160" s="478">
        <v>12205</v>
      </c>
      <c r="E2160" s="474">
        <v>38943</v>
      </c>
      <c r="F2160" s="475" t="s">
        <v>446</v>
      </c>
      <c r="G2160" s="476">
        <v>69</v>
      </c>
      <c r="H2160" s="475" t="s">
        <v>1372</v>
      </c>
      <c r="I2160" s="487" t="s">
        <v>1373</v>
      </c>
      <c r="J2160" s="510">
        <v>6.61</v>
      </c>
    </row>
    <row r="2161" spans="1:10" ht="20.25" customHeight="1">
      <c r="A2161" s="471">
        <v>5311</v>
      </c>
      <c r="B2161" s="474" t="s">
        <v>1217</v>
      </c>
      <c r="C2161" s="473">
        <v>304</v>
      </c>
      <c r="D2161" s="478">
        <v>12205</v>
      </c>
      <c r="E2161" s="474">
        <v>38943</v>
      </c>
      <c r="F2161" s="475" t="s">
        <v>446</v>
      </c>
      <c r="G2161" s="476">
        <v>69</v>
      </c>
      <c r="H2161" s="475" t="s">
        <v>1372</v>
      </c>
      <c r="I2161" s="487" t="s">
        <v>1373</v>
      </c>
      <c r="J2161" s="510">
        <v>6.61</v>
      </c>
    </row>
    <row r="2162" spans="1:10" ht="20.25" customHeight="1">
      <c r="A2162" s="471">
        <v>5311</v>
      </c>
      <c r="B2162" s="474" t="s">
        <v>1217</v>
      </c>
      <c r="C2162" s="473">
        <v>305</v>
      </c>
      <c r="D2162" s="478">
        <v>12205</v>
      </c>
      <c r="E2162" s="474">
        <v>38943</v>
      </c>
      <c r="F2162" s="475" t="s">
        <v>446</v>
      </c>
      <c r="G2162" s="476">
        <v>69</v>
      </c>
      <c r="H2162" s="475" t="s">
        <v>1372</v>
      </c>
      <c r="I2162" s="487" t="s">
        <v>1373</v>
      </c>
      <c r="J2162" s="510">
        <v>6.61</v>
      </c>
    </row>
    <row r="2163" spans="1:10" ht="20.25" customHeight="1">
      <c r="A2163" s="471">
        <v>5311</v>
      </c>
      <c r="B2163" s="474" t="s">
        <v>1217</v>
      </c>
      <c r="C2163" s="473">
        <v>306</v>
      </c>
      <c r="D2163" s="478">
        <v>12205</v>
      </c>
      <c r="E2163" s="474">
        <v>38943</v>
      </c>
      <c r="F2163" s="475" t="s">
        <v>446</v>
      </c>
      <c r="G2163" s="476">
        <v>69</v>
      </c>
      <c r="H2163" s="475" t="s">
        <v>1372</v>
      </c>
      <c r="I2163" s="487" t="s">
        <v>1373</v>
      </c>
      <c r="J2163" s="510">
        <v>6.61</v>
      </c>
    </row>
    <row r="2164" spans="1:10" ht="20.25" customHeight="1">
      <c r="A2164" s="471">
        <v>5311</v>
      </c>
      <c r="B2164" s="474" t="s">
        <v>1217</v>
      </c>
      <c r="C2164" s="473">
        <v>307</v>
      </c>
      <c r="D2164" s="478">
        <v>12205</v>
      </c>
      <c r="E2164" s="474">
        <v>38943</v>
      </c>
      <c r="F2164" s="475" t="s">
        <v>446</v>
      </c>
      <c r="G2164" s="476">
        <v>69</v>
      </c>
      <c r="H2164" s="475" t="s">
        <v>1372</v>
      </c>
      <c r="I2164" s="487" t="s">
        <v>1373</v>
      </c>
      <c r="J2164" s="510">
        <v>6.61</v>
      </c>
    </row>
    <row r="2165" spans="1:10" ht="20.25" customHeight="1">
      <c r="A2165" s="471">
        <v>5311</v>
      </c>
      <c r="B2165" s="474" t="s">
        <v>1217</v>
      </c>
      <c r="C2165" s="473">
        <v>308</v>
      </c>
      <c r="D2165" s="478">
        <v>12205</v>
      </c>
      <c r="E2165" s="474">
        <v>38943</v>
      </c>
      <c r="F2165" s="475" t="s">
        <v>446</v>
      </c>
      <c r="G2165" s="476">
        <v>69</v>
      </c>
      <c r="H2165" s="475" t="s">
        <v>1372</v>
      </c>
      <c r="I2165" s="487" t="s">
        <v>1373</v>
      </c>
      <c r="J2165" s="510">
        <v>6.61</v>
      </c>
    </row>
    <row r="2166" spans="1:10" ht="20.25" customHeight="1">
      <c r="A2166" s="471">
        <v>5311</v>
      </c>
      <c r="B2166" s="474" t="s">
        <v>1217</v>
      </c>
      <c r="C2166" s="473">
        <v>309</v>
      </c>
      <c r="D2166" s="478">
        <v>12205</v>
      </c>
      <c r="E2166" s="474">
        <v>38943</v>
      </c>
      <c r="F2166" s="475" t="s">
        <v>446</v>
      </c>
      <c r="G2166" s="476">
        <v>69</v>
      </c>
      <c r="H2166" s="475" t="s">
        <v>1372</v>
      </c>
      <c r="I2166" s="487" t="s">
        <v>1373</v>
      </c>
      <c r="J2166" s="510">
        <v>6.61</v>
      </c>
    </row>
    <row r="2167" spans="1:10" ht="20.25" customHeight="1">
      <c r="A2167" s="471">
        <v>5311</v>
      </c>
      <c r="B2167" s="474" t="s">
        <v>1217</v>
      </c>
      <c r="C2167" s="473">
        <v>310</v>
      </c>
      <c r="D2167" s="478">
        <v>12205</v>
      </c>
      <c r="E2167" s="474">
        <v>38943</v>
      </c>
      <c r="F2167" s="475" t="s">
        <v>446</v>
      </c>
      <c r="G2167" s="476">
        <v>69</v>
      </c>
      <c r="H2167" s="475" t="s">
        <v>1372</v>
      </c>
      <c r="I2167" s="487" t="s">
        <v>1373</v>
      </c>
      <c r="J2167" s="510">
        <v>6.61</v>
      </c>
    </row>
    <row r="2168" spans="1:10" ht="20.25" customHeight="1">
      <c r="A2168" s="471">
        <v>5311</v>
      </c>
      <c r="B2168" s="474" t="s">
        <v>1217</v>
      </c>
      <c r="C2168" s="473">
        <v>311</v>
      </c>
      <c r="D2168" s="478">
        <v>12205</v>
      </c>
      <c r="E2168" s="474">
        <v>38943</v>
      </c>
      <c r="F2168" s="475" t="s">
        <v>446</v>
      </c>
      <c r="G2168" s="476">
        <v>69</v>
      </c>
      <c r="H2168" s="475" t="s">
        <v>1372</v>
      </c>
      <c r="I2168" s="487" t="s">
        <v>1373</v>
      </c>
      <c r="J2168" s="510">
        <v>6.61</v>
      </c>
    </row>
    <row r="2169" spans="1:10" ht="20.25" customHeight="1">
      <c r="A2169" s="471">
        <v>5311</v>
      </c>
      <c r="B2169" s="474" t="s">
        <v>1217</v>
      </c>
      <c r="C2169" s="473">
        <v>312</v>
      </c>
      <c r="D2169" s="478">
        <v>12205</v>
      </c>
      <c r="E2169" s="474">
        <v>38943</v>
      </c>
      <c r="F2169" s="475" t="s">
        <v>446</v>
      </c>
      <c r="G2169" s="476">
        <v>69</v>
      </c>
      <c r="H2169" s="475" t="s">
        <v>1372</v>
      </c>
      <c r="I2169" s="487" t="s">
        <v>1373</v>
      </c>
      <c r="J2169" s="510">
        <v>6.61</v>
      </c>
    </row>
    <row r="2170" spans="1:10" ht="20.25" customHeight="1">
      <c r="A2170" s="471">
        <v>5311</v>
      </c>
      <c r="B2170" s="474" t="s">
        <v>1217</v>
      </c>
      <c r="C2170" s="473">
        <v>313</v>
      </c>
      <c r="D2170" s="478">
        <v>12205</v>
      </c>
      <c r="E2170" s="474">
        <v>38943</v>
      </c>
      <c r="F2170" s="475" t="s">
        <v>446</v>
      </c>
      <c r="G2170" s="476">
        <v>69</v>
      </c>
      <c r="H2170" s="475" t="s">
        <v>1372</v>
      </c>
      <c r="I2170" s="487" t="s">
        <v>1373</v>
      </c>
      <c r="J2170" s="510">
        <v>6.61</v>
      </c>
    </row>
    <row r="2171" spans="1:10" ht="20.25" customHeight="1">
      <c r="A2171" s="471">
        <v>5311</v>
      </c>
      <c r="B2171" s="474" t="s">
        <v>1217</v>
      </c>
      <c r="C2171" s="473">
        <v>314</v>
      </c>
      <c r="D2171" s="478">
        <v>12205</v>
      </c>
      <c r="E2171" s="474">
        <v>38943</v>
      </c>
      <c r="F2171" s="475" t="s">
        <v>446</v>
      </c>
      <c r="G2171" s="476">
        <v>69</v>
      </c>
      <c r="H2171" s="475" t="s">
        <v>1372</v>
      </c>
      <c r="I2171" s="487" t="s">
        <v>1373</v>
      </c>
      <c r="J2171" s="510">
        <v>6.61</v>
      </c>
    </row>
    <row r="2172" spans="1:10" ht="20.25" customHeight="1">
      <c r="A2172" s="471">
        <v>5311</v>
      </c>
      <c r="B2172" s="474" t="s">
        <v>1217</v>
      </c>
      <c r="C2172" s="473">
        <v>315</v>
      </c>
      <c r="D2172" s="478">
        <v>12205</v>
      </c>
      <c r="E2172" s="474">
        <v>38943</v>
      </c>
      <c r="F2172" s="475" t="s">
        <v>446</v>
      </c>
      <c r="G2172" s="476">
        <v>69</v>
      </c>
      <c r="H2172" s="475" t="s">
        <v>1372</v>
      </c>
      <c r="I2172" s="487" t="s">
        <v>1373</v>
      </c>
      <c r="J2172" s="510">
        <v>6.61</v>
      </c>
    </row>
    <row r="2173" spans="1:10" ht="20.25" customHeight="1">
      <c r="A2173" s="471">
        <v>5311</v>
      </c>
      <c r="B2173" s="474" t="s">
        <v>1217</v>
      </c>
      <c r="C2173" s="473">
        <v>316</v>
      </c>
      <c r="D2173" s="478">
        <v>12205</v>
      </c>
      <c r="E2173" s="474">
        <v>38943</v>
      </c>
      <c r="F2173" s="475" t="s">
        <v>446</v>
      </c>
      <c r="G2173" s="476">
        <v>69</v>
      </c>
      <c r="H2173" s="475" t="s">
        <v>1372</v>
      </c>
      <c r="I2173" s="487" t="s">
        <v>1373</v>
      </c>
      <c r="J2173" s="510">
        <v>6.61</v>
      </c>
    </row>
    <row r="2174" spans="1:10" ht="20.25" customHeight="1">
      <c r="A2174" s="471">
        <v>5311</v>
      </c>
      <c r="B2174" s="474" t="s">
        <v>1217</v>
      </c>
      <c r="C2174" s="473">
        <v>317</v>
      </c>
      <c r="D2174" s="478">
        <v>12205</v>
      </c>
      <c r="E2174" s="474">
        <v>38943</v>
      </c>
      <c r="F2174" s="475" t="s">
        <v>446</v>
      </c>
      <c r="G2174" s="476">
        <v>69</v>
      </c>
      <c r="H2174" s="475" t="s">
        <v>1372</v>
      </c>
      <c r="I2174" s="487" t="s">
        <v>1373</v>
      </c>
      <c r="J2174" s="510">
        <v>6.61</v>
      </c>
    </row>
    <row r="2175" spans="1:10" ht="20.25" customHeight="1">
      <c r="A2175" s="471">
        <v>5311</v>
      </c>
      <c r="B2175" s="474" t="s">
        <v>1217</v>
      </c>
      <c r="C2175" s="473">
        <v>318</v>
      </c>
      <c r="D2175" s="478">
        <v>12205</v>
      </c>
      <c r="E2175" s="474">
        <v>38943</v>
      </c>
      <c r="F2175" s="475" t="s">
        <v>446</v>
      </c>
      <c r="G2175" s="476">
        <v>69</v>
      </c>
      <c r="H2175" s="475" t="s">
        <v>1372</v>
      </c>
      <c r="I2175" s="487" t="s">
        <v>1373</v>
      </c>
      <c r="J2175" s="510">
        <v>6.61</v>
      </c>
    </row>
    <row r="2176" spans="1:10" ht="20.25" customHeight="1">
      <c r="A2176" s="471">
        <v>5311</v>
      </c>
      <c r="B2176" s="474" t="s">
        <v>1217</v>
      </c>
      <c r="C2176" s="473">
        <v>319</v>
      </c>
      <c r="D2176" s="478">
        <v>12205</v>
      </c>
      <c r="E2176" s="474">
        <v>38943</v>
      </c>
      <c r="F2176" s="475" t="s">
        <v>446</v>
      </c>
      <c r="G2176" s="476">
        <v>69</v>
      </c>
      <c r="H2176" s="475" t="s">
        <v>1372</v>
      </c>
      <c r="I2176" s="487" t="s">
        <v>1373</v>
      </c>
      <c r="J2176" s="510">
        <v>6.61</v>
      </c>
    </row>
    <row r="2177" spans="1:10" ht="20.25" customHeight="1">
      <c r="A2177" s="471">
        <v>5311</v>
      </c>
      <c r="B2177" s="474" t="s">
        <v>1217</v>
      </c>
      <c r="C2177" s="473">
        <v>320</v>
      </c>
      <c r="D2177" s="478">
        <v>12205</v>
      </c>
      <c r="E2177" s="474">
        <v>38943</v>
      </c>
      <c r="F2177" s="475" t="s">
        <v>446</v>
      </c>
      <c r="G2177" s="476">
        <v>69</v>
      </c>
      <c r="H2177" s="475" t="s">
        <v>1372</v>
      </c>
      <c r="I2177" s="487" t="s">
        <v>1373</v>
      </c>
      <c r="J2177" s="510">
        <v>6.61</v>
      </c>
    </row>
    <row r="2178" spans="1:10" ht="20.25" customHeight="1">
      <c r="A2178" s="471">
        <v>5311</v>
      </c>
      <c r="B2178" s="474" t="s">
        <v>1217</v>
      </c>
      <c r="C2178" s="473">
        <v>321</v>
      </c>
      <c r="D2178" s="478">
        <v>12205</v>
      </c>
      <c r="E2178" s="474">
        <v>38943</v>
      </c>
      <c r="F2178" s="475" t="s">
        <v>446</v>
      </c>
      <c r="G2178" s="476">
        <v>69</v>
      </c>
      <c r="H2178" s="475" t="s">
        <v>1372</v>
      </c>
      <c r="I2178" s="487" t="s">
        <v>1373</v>
      </c>
      <c r="J2178" s="510">
        <v>6.61</v>
      </c>
    </row>
    <row r="2179" spans="1:10" ht="20.25" customHeight="1">
      <c r="A2179" s="471">
        <v>5311</v>
      </c>
      <c r="B2179" s="474" t="s">
        <v>1217</v>
      </c>
      <c r="C2179" s="473">
        <v>322</v>
      </c>
      <c r="D2179" s="478">
        <v>12205</v>
      </c>
      <c r="E2179" s="474">
        <v>38943</v>
      </c>
      <c r="F2179" s="475" t="s">
        <v>446</v>
      </c>
      <c r="G2179" s="476">
        <v>69</v>
      </c>
      <c r="H2179" s="475" t="s">
        <v>1372</v>
      </c>
      <c r="I2179" s="487" t="s">
        <v>1373</v>
      </c>
      <c r="J2179" s="510">
        <v>6.61</v>
      </c>
    </row>
    <row r="2180" spans="1:10" ht="20.25" customHeight="1">
      <c r="A2180" s="471">
        <v>5311</v>
      </c>
      <c r="B2180" s="474" t="s">
        <v>1217</v>
      </c>
      <c r="C2180" s="473">
        <v>323</v>
      </c>
      <c r="D2180" s="478">
        <v>12205</v>
      </c>
      <c r="E2180" s="474">
        <v>38943</v>
      </c>
      <c r="F2180" s="475" t="s">
        <v>446</v>
      </c>
      <c r="G2180" s="476">
        <v>69</v>
      </c>
      <c r="H2180" s="475" t="s">
        <v>1372</v>
      </c>
      <c r="I2180" s="487" t="s">
        <v>1373</v>
      </c>
      <c r="J2180" s="510">
        <v>6.61</v>
      </c>
    </row>
    <row r="2181" spans="1:10" ht="20.25" customHeight="1">
      <c r="A2181" s="471">
        <v>5311</v>
      </c>
      <c r="B2181" s="474" t="s">
        <v>1217</v>
      </c>
      <c r="C2181" s="473">
        <v>324</v>
      </c>
      <c r="D2181" s="478">
        <v>12205</v>
      </c>
      <c r="E2181" s="474">
        <v>38943</v>
      </c>
      <c r="F2181" s="475" t="s">
        <v>446</v>
      </c>
      <c r="G2181" s="476">
        <v>69</v>
      </c>
      <c r="H2181" s="475" t="s">
        <v>1372</v>
      </c>
      <c r="I2181" s="487" t="s">
        <v>1373</v>
      </c>
      <c r="J2181" s="510">
        <v>6.61</v>
      </c>
    </row>
    <row r="2182" spans="1:10" ht="20.25" customHeight="1">
      <c r="A2182" s="471">
        <v>5311</v>
      </c>
      <c r="B2182" s="474" t="s">
        <v>1217</v>
      </c>
      <c r="C2182" s="473">
        <v>325</v>
      </c>
      <c r="D2182" s="478">
        <v>12205</v>
      </c>
      <c r="E2182" s="474">
        <v>38943</v>
      </c>
      <c r="F2182" s="475" t="s">
        <v>446</v>
      </c>
      <c r="G2182" s="476">
        <v>69</v>
      </c>
      <c r="H2182" s="475" t="s">
        <v>1372</v>
      </c>
      <c r="I2182" s="487" t="s">
        <v>1373</v>
      </c>
      <c r="J2182" s="510">
        <v>6.61</v>
      </c>
    </row>
    <row r="2183" spans="1:10" ht="20.25" customHeight="1">
      <c r="A2183" s="471">
        <v>5311</v>
      </c>
      <c r="B2183" s="474" t="s">
        <v>1217</v>
      </c>
      <c r="C2183" s="473">
        <v>326</v>
      </c>
      <c r="D2183" s="478">
        <v>12205</v>
      </c>
      <c r="E2183" s="474">
        <v>38943</v>
      </c>
      <c r="F2183" s="475" t="s">
        <v>446</v>
      </c>
      <c r="G2183" s="476">
        <v>69</v>
      </c>
      <c r="H2183" s="475" t="s">
        <v>1372</v>
      </c>
      <c r="I2183" s="487" t="s">
        <v>1373</v>
      </c>
      <c r="J2183" s="510">
        <v>6.61</v>
      </c>
    </row>
    <row r="2184" spans="1:10" ht="20.25" customHeight="1">
      <c r="A2184" s="471">
        <v>5311</v>
      </c>
      <c r="B2184" s="474" t="s">
        <v>1217</v>
      </c>
      <c r="C2184" s="473">
        <v>327</v>
      </c>
      <c r="D2184" s="478">
        <v>12205</v>
      </c>
      <c r="E2184" s="474">
        <v>38943</v>
      </c>
      <c r="F2184" s="475" t="s">
        <v>446</v>
      </c>
      <c r="G2184" s="476">
        <v>69</v>
      </c>
      <c r="H2184" s="475" t="s">
        <v>1372</v>
      </c>
      <c r="I2184" s="487" t="s">
        <v>1373</v>
      </c>
      <c r="J2184" s="510">
        <v>6.61</v>
      </c>
    </row>
    <row r="2185" spans="1:10" ht="20.25" customHeight="1">
      <c r="A2185" s="471">
        <v>5311</v>
      </c>
      <c r="B2185" s="474" t="s">
        <v>1217</v>
      </c>
      <c r="C2185" s="473">
        <v>328</v>
      </c>
      <c r="D2185" s="478">
        <v>12205</v>
      </c>
      <c r="E2185" s="474">
        <v>38943</v>
      </c>
      <c r="F2185" s="475" t="s">
        <v>446</v>
      </c>
      <c r="G2185" s="476">
        <v>69</v>
      </c>
      <c r="H2185" s="475" t="s">
        <v>1372</v>
      </c>
      <c r="I2185" s="487" t="s">
        <v>1373</v>
      </c>
      <c r="J2185" s="510">
        <v>6.61</v>
      </c>
    </row>
    <row r="2186" spans="1:10" ht="20.25" customHeight="1">
      <c r="A2186" s="471">
        <v>5311</v>
      </c>
      <c r="B2186" s="474" t="s">
        <v>1217</v>
      </c>
      <c r="C2186" s="473">
        <v>329</v>
      </c>
      <c r="D2186" s="478">
        <v>12205</v>
      </c>
      <c r="E2186" s="474">
        <v>38943</v>
      </c>
      <c r="F2186" s="475" t="s">
        <v>446</v>
      </c>
      <c r="G2186" s="476">
        <v>69</v>
      </c>
      <c r="H2186" s="475" t="s">
        <v>1372</v>
      </c>
      <c r="I2186" s="487" t="s">
        <v>1373</v>
      </c>
      <c r="J2186" s="510">
        <v>6.61</v>
      </c>
    </row>
    <row r="2187" spans="1:10" ht="20.25" customHeight="1">
      <c r="A2187" s="471">
        <v>5311</v>
      </c>
      <c r="B2187" s="474" t="s">
        <v>1217</v>
      </c>
      <c r="C2187" s="473">
        <v>330</v>
      </c>
      <c r="D2187" s="478">
        <v>12205</v>
      </c>
      <c r="E2187" s="474">
        <v>38943</v>
      </c>
      <c r="F2187" s="475" t="s">
        <v>446</v>
      </c>
      <c r="G2187" s="476">
        <v>69</v>
      </c>
      <c r="H2187" s="475" t="s">
        <v>1372</v>
      </c>
      <c r="I2187" s="487" t="s">
        <v>1373</v>
      </c>
      <c r="J2187" s="510">
        <v>6.61</v>
      </c>
    </row>
    <row r="2188" spans="1:10" ht="20.25" customHeight="1">
      <c r="A2188" s="471">
        <v>5311</v>
      </c>
      <c r="B2188" s="474" t="s">
        <v>1217</v>
      </c>
      <c r="C2188" s="473">
        <v>331</v>
      </c>
      <c r="D2188" s="478">
        <v>12205</v>
      </c>
      <c r="E2188" s="474">
        <v>38943</v>
      </c>
      <c r="F2188" s="475" t="s">
        <v>446</v>
      </c>
      <c r="G2188" s="476">
        <v>69</v>
      </c>
      <c r="H2188" s="475" t="s">
        <v>1372</v>
      </c>
      <c r="I2188" s="487" t="s">
        <v>1373</v>
      </c>
      <c r="J2188" s="510">
        <v>6.61</v>
      </c>
    </row>
    <row r="2189" spans="1:10" ht="20.25" customHeight="1">
      <c r="A2189" s="471">
        <v>5311</v>
      </c>
      <c r="B2189" s="474" t="s">
        <v>1217</v>
      </c>
      <c r="C2189" s="473">
        <v>332</v>
      </c>
      <c r="D2189" s="478">
        <v>12205</v>
      </c>
      <c r="E2189" s="474">
        <v>38943</v>
      </c>
      <c r="F2189" s="475" t="s">
        <v>446</v>
      </c>
      <c r="G2189" s="476">
        <v>69</v>
      </c>
      <c r="H2189" s="475" t="s">
        <v>1372</v>
      </c>
      <c r="I2189" s="487" t="s">
        <v>1373</v>
      </c>
      <c r="J2189" s="510">
        <v>6.61</v>
      </c>
    </row>
    <row r="2190" spans="1:10" ht="20.25" customHeight="1">
      <c r="A2190" s="471">
        <v>5311</v>
      </c>
      <c r="B2190" s="474" t="s">
        <v>1217</v>
      </c>
      <c r="C2190" s="473">
        <v>333</v>
      </c>
      <c r="D2190" s="478">
        <v>12205</v>
      </c>
      <c r="E2190" s="474">
        <v>38943</v>
      </c>
      <c r="F2190" s="475" t="s">
        <v>446</v>
      </c>
      <c r="G2190" s="476">
        <v>69</v>
      </c>
      <c r="H2190" s="475" t="s">
        <v>1372</v>
      </c>
      <c r="I2190" s="487" t="s">
        <v>1373</v>
      </c>
      <c r="J2190" s="510">
        <v>6.61</v>
      </c>
    </row>
    <row r="2191" spans="1:10" ht="20.25" customHeight="1">
      <c r="A2191" s="471">
        <v>5311</v>
      </c>
      <c r="B2191" s="474" t="s">
        <v>1217</v>
      </c>
      <c r="C2191" s="473">
        <v>334</v>
      </c>
      <c r="D2191" s="478">
        <v>12205</v>
      </c>
      <c r="E2191" s="474">
        <v>38943</v>
      </c>
      <c r="F2191" s="475" t="s">
        <v>446</v>
      </c>
      <c r="G2191" s="476">
        <v>69</v>
      </c>
      <c r="H2191" s="475" t="s">
        <v>1372</v>
      </c>
      <c r="I2191" s="487" t="s">
        <v>1373</v>
      </c>
      <c r="J2191" s="510">
        <v>6.61</v>
      </c>
    </row>
    <row r="2192" spans="1:10" ht="20.25" customHeight="1">
      <c r="A2192" s="471">
        <v>5311</v>
      </c>
      <c r="B2192" s="474" t="s">
        <v>1217</v>
      </c>
      <c r="C2192" s="473">
        <v>335</v>
      </c>
      <c r="D2192" s="478">
        <v>12205</v>
      </c>
      <c r="E2192" s="474">
        <v>38943</v>
      </c>
      <c r="F2192" s="475" t="s">
        <v>446</v>
      </c>
      <c r="G2192" s="476">
        <v>69</v>
      </c>
      <c r="H2192" s="475" t="s">
        <v>1372</v>
      </c>
      <c r="I2192" s="487" t="s">
        <v>1373</v>
      </c>
      <c r="J2192" s="510">
        <v>6.61</v>
      </c>
    </row>
    <row r="2193" spans="1:10" ht="20.25" customHeight="1">
      <c r="A2193" s="471">
        <v>5311</v>
      </c>
      <c r="B2193" s="474" t="s">
        <v>1217</v>
      </c>
      <c r="C2193" s="473">
        <v>336</v>
      </c>
      <c r="D2193" s="478">
        <v>12205</v>
      </c>
      <c r="E2193" s="474">
        <v>38943</v>
      </c>
      <c r="F2193" s="475" t="s">
        <v>446</v>
      </c>
      <c r="G2193" s="476">
        <v>69</v>
      </c>
      <c r="H2193" s="475" t="s">
        <v>1372</v>
      </c>
      <c r="I2193" s="487" t="s">
        <v>1373</v>
      </c>
      <c r="J2193" s="510">
        <v>6.61</v>
      </c>
    </row>
    <row r="2194" spans="1:10" ht="20.25" customHeight="1">
      <c r="A2194" s="471">
        <v>5311</v>
      </c>
      <c r="B2194" s="474" t="s">
        <v>1217</v>
      </c>
      <c r="C2194" s="473">
        <v>337</v>
      </c>
      <c r="D2194" s="478">
        <v>12205</v>
      </c>
      <c r="E2194" s="474">
        <v>38943</v>
      </c>
      <c r="F2194" s="475" t="s">
        <v>446</v>
      </c>
      <c r="G2194" s="476">
        <v>69</v>
      </c>
      <c r="H2194" s="475" t="s">
        <v>1372</v>
      </c>
      <c r="I2194" s="487" t="s">
        <v>1373</v>
      </c>
      <c r="J2194" s="510">
        <v>6.61</v>
      </c>
    </row>
    <row r="2195" spans="1:10" ht="20.25" customHeight="1">
      <c r="A2195" s="471">
        <v>5311</v>
      </c>
      <c r="B2195" s="474" t="s">
        <v>1217</v>
      </c>
      <c r="C2195" s="473">
        <v>338</v>
      </c>
      <c r="D2195" s="478">
        <v>12205</v>
      </c>
      <c r="E2195" s="474">
        <v>38943</v>
      </c>
      <c r="F2195" s="475" t="s">
        <v>446</v>
      </c>
      <c r="G2195" s="476">
        <v>69</v>
      </c>
      <c r="H2195" s="475" t="s">
        <v>1372</v>
      </c>
      <c r="I2195" s="487" t="s">
        <v>1373</v>
      </c>
      <c r="J2195" s="510">
        <v>6.61</v>
      </c>
    </row>
    <row r="2196" spans="1:10" ht="20.25" customHeight="1">
      <c r="A2196" s="471">
        <v>5311</v>
      </c>
      <c r="B2196" s="474" t="s">
        <v>1217</v>
      </c>
      <c r="C2196" s="473">
        <v>339</v>
      </c>
      <c r="D2196" s="478">
        <v>12205</v>
      </c>
      <c r="E2196" s="474">
        <v>38943</v>
      </c>
      <c r="F2196" s="475" t="s">
        <v>446</v>
      </c>
      <c r="G2196" s="476">
        <v>69</v>
      </c>
      <c r="H2196" s="475" t="s">
        <v>1372</v>
      </c>
      <c r="I2196" s="487" t="s">
        <v>1373</v>
      </c>
      <c r="J2196" s="510">
        <v>6.61</v>
      </c>
    </row>
    <row r="2197" spans="1:10" ht="20.25" customHeight="1">
      <c r="A2197" s="471">
        <v>5311</v>
      </c>
      <c r="B2197" s="474" t="s">
        <v>1217</v>
      </c>
      <c r="C2197" s="473">
        <v>340</v>
      </c>
      <c r="D2197" s="478">
        <v>12205</v>
      </c>
      <c r="E2197" s="474">
        <v>38943</v>
      </c>
      <c r="F2197" s="475" t="s">
        <v>446</v>
      </c>
      <c r="G2197" s="476">
        <v>69</v>
      </c>
      <c r="H2197" s="475" t="s">
        <v>1372</v>
      </c>
      <c r="I2197" s="487" t="s">
        <v>1373</v>
      </c>
      <c r="J2197" s="510">
        <v>6.61</v>
      </c>
    </row>
    <row r="2198" spans="1:10" ht="20.25" customHeight="1">
      <c r="A2198" s="471">
        <v>5311</v>
      </c>
      <c r="B2198" s="474" t="s">
        <v>1217</v>
      </c>
      <c r="C2198" s="473">
        <v>341</v>
      </c>
      <c r="D2198" s="478">
        <v>12205</v>
      </c>
      <c r="E2198" s="474">
        <v>38943</v>
      </c>
      <c r="F2198" s="475" t="s">
        <v>446</v>
      </c>
      <c r="G2198" s="476">
        <v>69</v>
      </c>
      <c r="H2198" s="475" t="s">
        <v>1372</v>
      </c>
      <c r="I2198" s="487" t="s">
        <v>1373</v>
      </c>
      <c r="J2198" s="510">
        <v>6.61</v>
      </c>
    </row>
    <row r="2199" spans="1:10" ht="20.25" customHeight="1">
      <c r="A2199" s="471">
        <v>5311</v>
      </c>
      <c r="B2199" s="474" t="s">
        <v>1217</v>
      </c>
      <c r="C2199" s="473">
        <v>342</v>
      </c>
      <c r="D2199" s="478">
        <v>12205</v>
      </c>
      <c r="E2199" s="474">
        <v>38943</v>
      </c>
      <c r="F2199" s="475" t="s">
        <v>446</v>
      </c>
      <c r="G2199" s="476">
        <v>69</v>
      </c>
      <c r="H2199" s="475" t="s">
        <v>1372</v>
      </c>
      <c r="I2199" s="487" t="s">
        <v>1373</v>
      </c>
      <c r="J2199" s="510">
        <v>6.61</v>
      </c>
    </row>
    <row r="2200" spans="1:10" ht="20.25" customHeight="1">
      <c r="A2200" s="471">
        <v>5311</v>
      </c>
      <c r="B2200" s="474" t="s">
        <v>1217</v>
      </c>
      <c r="C2200" s="473">
        <v>343</v>
      </c>
      <c r="D2200" s="478">
        <v>12205</v>
      </c>
      <c r="E2200" s="474">
        <v>38943</v>
      </c>
      <c r="F2200" s="475" t="s">
        <v>446</v>
      </c>
      <c r="G2200" s="476">
        <v>69</v>
      </c>
      <c r="H2200" s="475" t="s">
        <v>1372</v>
      </c>
      <c r="I2200" s="487" t="s">
        <v>1373</v>
      </c>
      <c r="J2200" s="510">
        <v>6.61</v>
      </c>
    </row>
    <row r="2201" spans="1:10" ht="20.25" customHeight="1">
      <c r="A2201" s="471">
        <v>5311</v>
      </c>
      <c r="B2201" s="474" t="s">
        <v>1217</v>
      </c>
      <c r="C2201" s="473">
        <v>344</v>
      </c>
      <c r="D2201" s="478">
        <v>12205</v>
      </c>
      <c r="E2201" s="474">
        <v>38943</v>
      </c>
      <c r="F2201" s="475" t="s">
        <v>446</v>
      </c>
      <c r="G2201" s="476">
        <v>69</v>
      </c>
      <c r="H2201" s="475" t="s">
        <v>1372</v>
      </c>
      <c r="I2201" s="487" t="s">
        <v>1373</v>
      </c>
      <c r="J2201" s="510">
        <v>6.61</v>
      </c>
    </row>
    <row r="2202" spans="1:10" ht="20.25" customHeight="1">
      <c r="A2202" s="471">
        <v>5311</v>
      </c>
      <c r="B2202" s="474" t="s">
        <v>1217</v>
      </c>
      <c r="C2202" s="473">
        <v>345</v>
      </c>
      <c r="D2202" s="478">
        <v>12205</v>
      </c>
      <c r="E2202" s="474">
        <v>38943</v>
      </c>
      <c r="F2202" s="475" t="s">
        <v>446</v>
      </c>
      <c r="G2202" s="476">
        <v>69</v>
      </c>
      <c r="H2202" s="475" t="s">
        <v>1372</v>
      </c>
      <c r="I2202" s="487" t="s">
        <v>1373</v>
      </c>
      <c r="J2202" s="510">
        <v>6.61</v>
      </c>
    </row>
    <row r="2203" spans="1:10" ht="20.25" customHeight="1">
      <c r="A2203" s="471">
        <v>5311</v>
      </c>
      <c r="B2203" s="474" t="s">
        <v>1217</v>
      </c>
      <c r="C2203" s="473">
        <v>346</v>
      </c>
      <c r="D2203" s="478">
        <v>12205</v>
      </c>
      <c r="E2203" s="474">
        <v>38943</v>
      </c>
      <c r="F2203" s="475" t="s">
        <v>446</v>
      </c>
      <c r="G2203" s="476">
        <v>69</v>
      </c>
      <c r="H2203" s="475" t="s">
        <v>1372</v>
      </c>
      <c r="I2203" s="487" t="s">
        <v>1373</v>
      </c>
      <c r="J2203" s="510">
        <v>6.61</v>
      </c>
    </row>
    <row r="2204" spans="1:10" ht="20.25" customHeight="1">
      <c r="A2204" s="471">
        <v>5311</v>
      </c>
      <c r="B2204" s="474" t="s">
        <v>1217</v>
      </c>
      <c r="C2204" s="473">
        <v>347</v>
      </c>
      <c r="D2204" s="478">
        <v>12205</v>
      </c>
      <c r="E2204" s="474">
        <v>38943</v>
      </c>
      <c r="F2204" s="475" t="s">
        <v>446</v>
      </c>
      <c r="G2204" s="476">
        <v>69</v>
      </c>
      <c r="H2204" s="475" t="s">
        <v>1372</v>
      </c>
      <c r="I2204" s="487" t="s">
        <v>1373</v>
      </c>
      <c r="J2204" s="510">
        <v>6.61</v>
      </c>
    </row>
    <row r="2205" spans="1:10" ht="20.25" customHeight="1">
      <c r="A2205" s="471">
        <v>5311</v>
      </c>
      <c r="B2205" s="474" t="s">
        <v>1217</v>
      </c>
      <c r="C2205" s="473">
        <v>348</v>
      </c>
      <c r="D2205" s="478">
        <v>12205</v>
      </c>
      <c r="E2205" s="474">
        <v>38943</v>
      </c>
      <c r="F2205" s="475" t="s">
        <v>446</v>
      </c>
      <c r="G2205" s="476">
        <v>69</v>
      </c>
      <c r="H2205" s="475" t="s">
        <v>1372</v>
      </c>
      <c r="I2205" s="487" t="s">
        <v>1373</v>
      </c>
      <c r="J2205" s="510">
        <v>6.61</v>
      </c>
    </row>
    <row r="2206" spans="1:10" ht="20.25" customHeight="1">
      <c r="A2206" s="471">
        <v>5311</v>
      </c>
      <c r="B2206" s="474" t="s">
        <v>1217</v>
      </c>
      <c r="C2206" s="473">
        <v>349</v>
      </c>
      <c r="D2206" s="478">
        <v>12205</v>
      </c>
      <c r="E2206" s="474">
        <v>38943</v>
      </c>
      <c r="F2206" s="475" t="s">
        <v>446</v>
      </c>
      <c r="G2206" s="476">
        <v>69</v>
      </c>
      <c r="H2206" s="475" t="s">
        <v>1372</v>
      </c>
      <c r="I2206" s="487" t="s">
        <v>1373</v>
      </c>
      <c r="J2206" s="510">
        <v>6.61</v>
      </c>
    </row>
    <row r="2207" spans="1:10" ht="20.25" customHeight="1">
      <c r="A2207" s="471">
        <v>5311</v>
      </c>
      <c r="B2207" s="474" t="s">
        <v>1217</v>
      </c>
      <c r="C2207" s="473">
        <v>350</v>
      </c>
      <c r="D2207" s="478">
        <v>12205</v>
      </c>
      <c r="E2207" s="474">
        <v>38943</v>
      </c>
      <c r="F2207" s="475" t="s">
        <v>446</v>
      </c>
      <c r="G2207" s="476">
        <v>69</v>
      </c>
      <c r="H2207" s="475" t="s">
        <v>1372</v>
      </c>
      <c r="I2207" s="487" t="s">
        <v>1373</v>
      </c>
      <c r="J2207" s="510">
        <v>6.61</v>
      </c>
    </row>
    <row r="2208" spans="1:10" ht="20.25" customHeight="1">
      <c r="A2208" s="471">
        <v>5311</v>
      </c>
      <c r="B2208" s="474" t="s">
        <v>1217</v>
      </c>
      <c r="C2208" s="473">
        <v>351</v>
      </c>
      <c r="D2208" s="478">
        <v>12205</v>
      </c>
      <c r="E2208" s="474">
        <v>38943</v>
      </c>
      <c r="F2208" s="475" t="s">
        <v>446</v>
      </c>
      <c r="G2208" s="476">
        <v>69</v>
      </c>
      <c r="H2208" s="475" t="s">
        <v>1372</v>
      </c>
      <c r="I2208" s="487" t="s">
        <v>1373</v>
      </c>
      <c r="J2208" s="510">
        <v>6.61</v>
      </c>
    </row>
    <row r="2209" spans="1:10" ht="20.25" customHeight="1">
      <c r="A2209" s="471">
        <v>5311</v>
      </c>
      <c r="B2209" s="474" t="s">
        <v>1217</v>
      </c>
      <c r="C2209" s="473">
        <v>352</v>
      </c>
      <c r="D2209" s="478">
        <v>12205</v>
      </c>
      <c r="E2209" s="474">
        <v>38943</v>
      </c>
      <c r="F2209" s="475" t="s">
        <v>446</v>
      </c>
      <c r="G2209" s="476">
        <v>69</v>
      </c>
      <c r="H2209" s="475" t="s">
        <v>1372</v>
      </c>
      <c r="I2209" s="487" t="s">
        <v>1373</v>
      </c>
      <c r="J2209" s="510">
        <v>6.61</v>
      </c>
    </row>
    <row r="2210" spans="1:10" ht="20.25" customHeight="1">
      <c r="A2210" s="471">
        <v>5311</v>
      </c>
      <c r="B2210" s="474" t="s">
        <v>1217</v>
      </c>
      <c r="C2210" s="473">
        <v>353</v>
      </c>
      <c r="D2210" s="478">
        <v>12205</v>
      </c>
      <c r="E2210" s="474">
        <v>38943</v>
      </c>
      <c r="F2210" s="475" t="s">
        <v>446</v>
      </c>
      <c r="G2210" s="476">
        <v>69</v>
      </c>
      <c r="H2210" s="475" t="s">
        <v>1372</v>
      </c>
      <c r="I2210" s="487" t="s">
        <v>1373</v>
      </c>
      <c r="J2210" s="510">
        <v>6.61</v>
      </c>
    </row>
    <row r="2211" spans="1:10" ht="20.25" customHeight="1">
      <c r="A2211" s="471">
        <v>5311</v>
      </c>
      <c r="B2211" s="474" t="s">
        <v>1217</v>
      </c>
      <c r="C2211" s="473">
        <v>354</v>
      </c>
      <c r="D2211" s="478">
        <v>12205</v>
      </c>
      <c r="E2211" s="474">
        <v>38943</v>
      </c>
      <c r="F2211" s="475" t="s">
        <v>446</v>
      </c>
      <c r="G2211" s="476">
        <v>69</v>
      </c>
      <c r="H2211" s="475" t="s">
        <v>1372</v>
      </c>
      <c r="I2211" s="487" t="s">
        <v>1373</v>
      </c>
      <c r="J2211" s="510">
        <v>6.61</v>
      </c>
    </row>
    <row r="2212" spans="1:10" ht="20.25" customHeight="1">
      <c r="A2212" s="471">
        <v>5311</v>
      </c>
      <c r="B2212" s="474" t="s">
        <v>1217</v>
      </c>
      <c r="C2212" s="473">
        <v>355</v>
      </c>
      <c r="D2212" s="478">
        <v>12205</v>
      </c>
      <c r="E2212" s="474">
        <v>38943</v>
      </c>
      <c r="F2212" s="475" t="s">
        <v>446</v>
      </c>
      <c r="G2212" s="476">
        <v>69</v>
      </c>
      <c r="H2212" s="475" t="s">
        <v>1372</v>
      </c>
      <c r="I2212" s="487" t="s">
        <v>1373</v>
      </c>
      <c r="J2212" s="510">
        <v>6.61</v>
      </c>
    </row>
    <row r="2213" spans="1:10" ht="20.25" customHeight="1">
      <c r="A2213" s="471">
        <v>5311</v>
      </c>
      <c r="B2213" s="474" t="s">
        <v>1217</v>
      </c>
      <c r="C2213" s="473">
        <v>356</v>
      </c>
      <c r="D2213" s="478">
        <v>12205</v>
      </c>
      <c r="E2213" s="474">
        <v>38943</v>
      </c>
      <c r="F2213" s="475" t="s">
        <v>446</v>
      </c>
      <c r="G2213" s="476">
        <v>69</v>
      </c>
      <c r="H2213" s="475" t="s">
        <v>1372</v>
      </c>
      <c r="I2213" s="487" t="s">
        <v>1373</v>
      </c>
      <c r="J2213" s="510">
        <v>6.61</v>
      </c>
    </row>
    <row r="2214" spans="1:10" ht="20.25" customHeight="1">
      <c r="A2214" s="471">
        <v>5311</v>
      </c>
      <c r="B2214" s="474" t="s">
        <v>1217</v>
      </c>
      <c r="C2214" s="473">
        <v>357</v>
      </c>
      <c r="D2214" s="478">
        <v>12205</v>
      </c>
      <c r="E2214" s="474">
        <v>38943</v>
      </c>
      <c r="F2214" s="475" t="s">
        <v>446</v>
      </c>
      <c r="G2214" s="476">
        <v>69</v>
      </c>
      <c r="H2214" s="475" t="s">
        <v>1372</v>
      </c>
      <c r="I2214" s="487" t="s">
        <v>1373</v>
      </c>
      <c r="J2214" s="510">
        <v>6.61</v>
      </c>
    </row>
    <row r="2215" spans="1:10" ht="20.25" customHeight="1">
      <c r="A2215" s="471">
        <v>5311</v>
      </c>
      <c r="B2215" s="474" t="s">
        <v>1217</v>
      </c>
      <c r="C2215" s="473">
        <v>358</v>
      </c>
      <c r="D2215" s="478">
        <v>12205</v>
      </c>
      <c r="E2215" s="474">
        <v>38943</v>
      </c>
      <c r="F2215" s="475" t="s">
        <v>446</v>
      </c>
      <c r="G2215" s="476">
        <v>69</v>
      </c>
      <c r="H2215" s="475" t="s">
        <v>1372</v>
      </c>
      <c r="I2215" s="487" t="s">
        <v>1373</v>
      </c>
      <c r="J2215" s="510">
        <v>6.61</v>
      </c>
    </row>
    <row r="2216" spans="1:10" ht="20.25" customHeight="1">
      <c r="A2216" s="471">
        <v>5311</v>
      </c>
      <c r="B2216" s="474" t="s">
        <v>1217</v>
      </c>
      <c r="C2216" s="473">
        <v>359</v>
      </c>
      <c r="D2216" s="478">
        <v>12205</v>
      </c>
      <c r="E2216" s="474">
        <v>38943</v>
      </c>
      <c r="F2216" s="475" t="s">
        <v>446</v>
      </c>
      <c r="G2216" s="476">
        <v>69</v>
      </c>
      <c r="H2216" s="475" t="s">
        <v>1372</v>
      </c>
      <c r="I2216" s="487" t="s">
        <v>1373</v>
      </c>
      <c r="J2216" s="510">
        <v>6.61</v>
      </c>
    </row>
    <row r="2217" spans="1:10" ht="20.25" customHeight="1">
      <c r="A2217" s="471">
        <v>5311</v>
      </c>
      <c r="B2217" s="474" t="s">
        <v>1217</v>
      </c>
      <c r="C2217" s="473">
        <v>360</v>
      </c>
      <c r="D2217" s="478">
        <v>12205</v>
      </c>
      <c r="E2217" s="474">
        <v>38943</v>
      </c>
      <c r="F2217" s="475" t="s">
        <v>446</v>
      </c>
      <c r="G2217" s="476">
        <v>69</v>
      </c>
      <c r="H2217" s="475" t="s">
        <v>1372</v>
      </c>
      <c r="I2217" s="487" t="s">
        <v>1373</v>
      </c>
      <c r="J2217" s="510">
        <v>6.61</v>
      </c>
    </row>
    <row r="2218" spans="1:10" ht="20.25" customHeight="1">
      <c r="A2218" s="471">
        <v>5311</v>
      </c>
      <c r="B2218" s="474" t="s">
        <v>1217</v>
      </c>
      <c r="C2218" s="473">
        <v>361</v>
      </c>
      <c r="D2218" s="478">
        <v>12205</v>
      </c>
      <c r="E2218" s="474">
        <v>38943</v>
      </c>
      <c r="F2218" s="475" t="s">
        <v>446</v>
      </c>
      <c r="G2218" s="476">
        <v>69</v>
      </c>
      <c r="H2218" s="475" t="s">
        <v>1372</v>
      </c>
      <c r="I2218" s="487" t="s">
        <v>1373</v>
      </c>
      <c r="J2218" s="510">
        <v>6.61</v>
      </c>
    </row>
    <row r="2219" spans="1:10" ht="20.25" customHeight="1">
      <c r="A2219" s="471">
        <v>5311</v>
      </c>
      <c r="B2219" s="474" t="s">
        <v>1217</v>
      </c>
      <c r="C2219" s="473">
        <v>362</v>
      </c>
      <c r="D2219" s="478">
        <v>12205</v>
      </c>
      <c r="E2219" s="474">
        <v>38943</v>
      </c>
      <c r="F2219" s="475" t="s">
        <v>446</v>
      </c>
      <c r="G2219" s="476">
        <v>69</v>
      </c>
      <c r="H2219" s="475" t="s">
        <v>1372</v>
      </c>
      <c r="I2219" s="487" t="s">
        <v>1373</v>
      </c>
      <c r="J2219" s="510">
        <v>6.61</v>
      </c>
    </row>
    <row r="2220" spans="1:10" ht="20.25" customHeight="1">
      <c r="A2220" s="471">
        <v>5311</v>
      </c>
      <c r="B2220" s="474" t="s">
        <v>1217</v>
      </c>
      <c r="C2220" s="473">
        <v>363</v>
      </c>
      <c r="D2220" s="478">
        <v>12205</v>
      </c>
      <c r="E2220" s="474">
        <v>38943</v>
      </c>
      <c r="F2220" s="475" t="s">
        <v>446</v>
      </c>
      <c r="G2220" s="476">
        <v>69</v>
      </c>
      <c r="H2220" s="475" t="s">
        <v>1372</v>
      </c>
      <c r="I2220" s="487" t="s">
        <v>1373</v>
      </c>
      <c r="J2220" s="510">
        <v>6.61</v>
      </c>
    </row>
    <row r="2221" spans="1:10" ht="20.25" customHeight="1">
      <c r="A2221" s="471">
        <v>5311</v>
      </c>
      <c r="B2221" s="474" t="s">
        <v>1217</v>
      </c>
      <c r="C2221" s="473">
        <v>364</v>
      </c>
      <c r="D2221" s="478">
        <v>12205</v>
      </c>
      <c r="E2221" s="474">
        <v>38943</v>
      </c>
      <c r="F2221" s="475" t="s">
        <v>446</v>
      </c>
      <c r="G2221" s="476">
        <v>69</v>
      </c>
      <c r="H2221" s="475" t="s">
        <v>1372</v>
      </c>
      <c r="I2221" s="487" t="s">
        <v>1373</v>
      </c>
      <c r="J2221" s="510">
        <v>6.61</v>
      </c>
    </row>
    <row r="2222" spans="1:10" ht="20.25" customHeight="1">
      <c r="A2222" s="471">
        <v>5311</v>
      </c>
      <c r="B2222" s="474" t="s">
        <v>1217</v>
      </c>
      <c r="C2222" s="473">
        <v>365</v>
      </c>
      <c r="D2222" s="478">
        <v>12205</v>
      </c>
      <c r="E2222" s="474">
        <v>38943</v>
      </c>
      <c r="F2222" s="475" t="s">
        <v>446</v>
      </c>
      <c r="G2222" s="476">
        <v>69</v>
      </c>
      <c r="H2222" s="475" t="s">
        <v>1372</v>
      </c>
      <c r="I2222" s="487" t="s">
        <v>1373</v>
      </c>
      <c r="J2222" s="510">
        <v>6.61</v>
      </c>
    </row>
    <row r="2223" spans="1:10" ht="20.25" customHeight="1">
      <c r="A2223" s="471">
        <v>5311</v>
      </c>
      <c r="B2223" s="474" t="s">
        <v>1217</v>
      </c>
      <c r="C2223" s="473">
        <v>366</v>
      </c>
      <c r="D2223" s="478">
        <v>12205</v>
      </c>
      <c r="E2223" s="474">
        <v>38943</v>
      </c>
      <c r="F2223" s="475" t="s">
        <v>446</v>
      </c>
      <c r="G2223" s="476">
        <v>69</v>
      </c>
      <c r="H2223" s="475" t="s">
        <v>1372</v>
      </c>
      <c r="I2223" s="487" t="s">
        <v>1373</v>
      </c>
      <c r="J2223" s="510">
        <v>6.61</v>
      </c>
    </row>
    <row r="2224" spans="1:10" ht="20.25" customHeight="1">
      <c r="A2224" s="471">
        <v>5311</v>
      </c>
      <c r="B2224" s="474" t="s">
        <v>1217</v>
      </c>
      <c r="C2224" s="473">
        <v>367</v>
      </c>
      <c r="D2224" s="478">
        <v>12205</v>
      </c>
      <c r="E2224" s="474">
        <v>38943</v>
      </c>
      <c r="F2224" s="475" t="s">
        <v>446</v>
      </c>
      <c r="G2224" s="476">
        <v>69</v>
      </c>
      <c r="H2224" s="475" t="s">
        <v>1372</v>
      </c>
      <c r="I2224" s="487" t="s">
        <v>1373</v>
      </c>
      <c r="J2224" s="510">
        <v>6.61</v>
      </c>
    </row>
    <row r="2225" spans="1:10" ht="20.25" customHeight="1">
      <c r="A2225" s="471">
        <v>5311</v>
      </c>
      <c r="B2225" s="474" t="s">
        <v>1217</v>
      </c>
      <c r="C2225" s="473">
        <v>368</v>
      </c>
      <c r="D2225" s="478">
        <v>12205</v>
      </c>
      <c r="E2225" s="474">
        <v>38943</v>
      </c>
      <c r="F2225" s="475" t="s">
        <v>446</v>
      </c>
      <c r="G2225" s="476">
        <v>69</v>
      </c>
      <c r="H2225" s="475" t="s">
        <v>1372</v>
      </c>
      <c r="I2225" s="487" t="s">
        <v>1373</v>
      </c>
      <c r="J2225" s="510">
        <v>6.61</v>
      </c>
    </row>
    <row r="2226" spans="1:10" ht="20.25" customHeight="1">
      <c r="A2226" s="471">
        <v>5311</v>
      </c>
      <c r="B2226" s="474" t="s">
        <v>1217</v>
      </c>
      <c r="C2226" s="473">
        <v>369</v>
      </c>
      <c r="D2226" s="478">
        <v>12205</v>
      </c>
      <c r="E2226" s="474">
        <v>38943</v>
      </c>
      <c r="F2226" s="475" t="s">
        <v>446</v>
      </c>
      <c r="G2226" s="476">
        <v>69</v>
      </c>
      <c r="H2226" s="475" t="s">
        <v>1372</v>
      </c>
      <c r="I2226" s="487" t="s">
        <v>1373</v>
      </c>
      <c r="J2226" s="510">
        <v>6.61</v>
      </c>
    </row>
    <row r="2227" spans="1:10" ht="20.25" customHeight="1">
      <c r="A2227" s="471">
        <v>5311</v>
      </c>
      <c r="B2227" s="474" t="s">
        <v>1217</v>
      </c>
      <c r="C2227" s="473">
        <v>370</v>
      </c>
      <c r="D2227" s="478">
        <v>12205</v>
      </c>
      <c r="E2227" s="474">
        <v>38943</v>
      </c>
      <c r="F2227" s="475" t="s">
        <v>446</v>
      </c>
      <c r="G2227" s="476">
        <v>69</v>
      </c>
      <c r="H2227" s="475" t="s">
        <v>1372</v>
      </c>
      <c r="I2227" s="487" t="s">
        <v>1373</v>
      </c>
      <c r="J2227" s="510">
        <v>6.61</v>
      </c>
    </row>
    <row r="2228" spans="1:10" ht="20.25" customHeight="1">
      <c r="A2228" s="471">
        <v>5311</v>
      </c>
      <c r="B2228" s="474" t="s">
        <v>1217</v>
      </c>
      <c r="C2228" s="473">
        <v>371</v>
      </c>
      <c r="D2228" s="478">
        <v>12205</v>
      </c>
      <c r="E2228" s="474">
        <v>38943</v>
      </c>
      <c r="F2228" s="475" t="s">
        <v>446</v>
      </c>
      <c r="G2228" s="476">
        <v>69</v>
      </c>
      <c r="H2228" s="475" t="s">
        <v>1372</v>
      </c>
      <c r="I2228" s="487" t="s">
        <v>1373</v>
      </c>
      <c r="J2228" s="510">
        <v>6.61</v>
      </c>
    </row>
    <row r="2229" spans="1:10" ht="20.25" customHeight="1">
      <c r="A2229" s="471">
        <v>5311</v>
      </c>
      <c r="B2229" s="474" t="s">
        <v>1217</v>
      </c>
      <c r="C2229" s="473">
        <v>372</v>
      </c>
      <c r="D2229" s="478">
        <v>12205</v>
      </c>
      <c r="E2229" s="474">
        <v>38943</v>
      </c>
      <c r="F2229" s="475" t="s">
        <v>446</v>
      </c>
      <c r="G2229" s="476">
        <v>69</v>
      </c>
      <c r="H2229" s="475" t="s">
        <v>1372</v>
      </c>
      <c r="I2229" s="487" t="s">
        <v>1373</v>
      </c>
      <c r="J2229" s="510">
        <v>6.61</v>
      </c>
    </row>
    <row r="2230" spans="1:10" ht="20.25" customHeight="1">
      <c r="A2230" s="471">
        <v>5311</v>
      </c>
      <c r="B2230" s="474" t="s">
        <v>1217</v>
      </c>
      <c r="C2230" s="473">
        <v>373</v>
      </c>
      <c r="D2230" s="478">
        <v>12205</v>
      </c>
      <c r="E2230" s="474">
        <v>38943</v>
      </c>
      <c r="F2230" s="475" t="s">
        <v>446</v>
      </c>
      <c r="G2230" s="476">
        <v>69</v>
      </c>
      <c r="H2230" s="475" t="s">
        <v>1372</v>
      </c>
      <c r="I2230" s="487" t="s">
        <v>1373</v>
      </c>
      <c r="J2230" s="510">
        <v>6.61</v>
      </c>
    </row>
    <row r="2231" spans="1:10" ht="20.25" customHeight="1">
      <c r="A2231" s="471">
        <v>5311</v>
      </c>
      <c r="B2231" s="474" t="s">
        <v>1217</v>
      </c>
      <c r="C2231" s="473">
        <v>374</v>
      </c>
      <c r="D2231" s="478">
        <v>12205</v>
      </c>
      <c r="E2231" s="474">
        <v>38943</v>
      </c>
      <c r="F2231" s="475" t="s">
        <v>446</v>
      </c>
      <c r="G2231" s="476">
        <v>69</v>
      </c>
      <c r="H2231" s="475" t="s">
        <v>1372</v>
      </c>
      <c r="I2231" s="487" t="s">
        <v>1373</v>
      </c>
      <c r="J2231" s="510">
        <v>6.61</v>
      </c>
    </row>
    <row r="2232" spans="1:10" ht="20.25" customHeight="1">
      <c r="A2232" s="471">
        <v>5311</v>
      </c>
      <c r="B2232" s="474" t="s">
        <v>1217</v>
      </c>
      <c r="C2232" s="473">
        <v>375</v>
      </c>
      <c r="D2232" s="478">
        <v>12205</v>
      </c>
      <c r="E2232" s="474">
        <v>38943</v>
      </c>
      <c r="F2232" s="475" t="s">
        <v>446</v>
      </c>
      <c r="G2232" s="476">
        <v>69</v>
      </c>
      <c r="H2232" s="475" t="s">
        <v>1372</v>
      </c>
      <c r="I2232" s="487" t="s">
        <v>1373</v>
      </c>
      <c r="J2232" s="510">
        <v>6.61</v>
      </c>
    </row>
    <row r="2233" spans="1:10" ht="20.25" customHeight="1">
      <c r="A2233" s="471">
        <v>5311</v>
      </c>
      <c r="B2233" s="474" t="s">
        <v>1217</v>
      </c>
      <c r="C2233" s="473">
        <v>376</v>
      </c>
      <c r="D2233" s="478">
        <v>12205</v>
      </c>
      <c r="E2233" s="474">
        <v>38943</v>
      </c>
      <c r="F2233" s="475" t="s">
        <v>446</v>
      </c>
      <c r="G2233" s="476">
        <v>69</v>
      </c>
      <c r="H2233" s="475" t="s">
        <v>1372</v>
      </c>
      <c r="I2233" s="487" t="s">
        <v>1373</v>
      </c>
      <c r="J2233" s="510">
        <v>6.61</v>
      </c>
    </row>
    <row r="2234" spans="1:10" ht="20.25" customHeight="1">
      <c r="A2234" s="471">
        <v>5311</v>
      </c>
      <c r="B2234" s="474" t="s">
        <v>1217</v>
      </c>
      <c r="C2234" s="473">
        <v>377</v>
      </c>
      <c r="D2234" s="478">
        <v>12205</v>
      </c>
      <c r="E2234" s="474">
        <v>38943</v>
      </c>
      <c r="F2234" s="475" t="s">
        <v>446</v>
      </c>
      <c r="G2234" s="476">
        <v>69</v>
      </c>
      <c r="H2234" s="475" t="s">
        <v>1372</v>
      </c>
      <c r="I2234" s="487" t="s">
        <v>1373</v>
      </c>
      <c r="J2234" s="510">
        <v>6.61</v>
      </c>
    </row>
    <row r="2235" spans="1:10" ht="20.25" customHeight="1">
      <c r="A2235" s="471">
        <v>5311</v>
      </c>
      <c r="B2235" s="474" t="s">
        <v>1217</v>
      </c>
      <c r="C2235" s="473">
        <v>378</v>
      </c>
      <c r="D2235" s="478">
        <v>12205</v>
      </c>
      <c r="E2235" s="474">
        <v>38943</v>
      </c>
      <c r="F2235" s="475" t="s">
        <v>446</v>
      </c>
      <c r="G2235" s="476">
        <v>69</v>
      </c>
      <c r="H2235" s="475" t="s">
        <v>1372</v>
      </c>
      <c r="I2235" s="487" t="s">
        <v>1373</v>
      </c>
      <c r="J2235" s="510">
        <v>6.61</v>
      </c>
    </row>
    <row r="2236" spans="1:10" ht="20.25" customHeight="1">
      <c r="A2236" s="471">
        <v>5311</v>
      </c>
      <c r="B2236" s="474" t="s">
        <v>1217</v>
      </c>
      <c r="C2236" s="473">
        <v>379</v>
      </c>
      <c r="D2236" s="478">
        <v>12205</v>
      </c>
      <c r="E2236" s="474">
        <v>38943</v>
      </c>
      <c r="F2236" s="475" t="s">
        <v>446</v>
      </c>
      <c r="G2236" s="476">
        <v>69</v>
      </c>
      <c r="H2236" s="475" t="s">
        <v>1372</v>
      </c>
      <c r="I2236" s="487" t="s">
        <v>1373</v>
      </c>
      <c r="J2236" s="510">
        <v>6.61</v>
      </c>
    </row>
    <row r="2237" spans="1:10" ht="20.25" customHeight="1">
      <c r="A2237" s="471">
        <v>5311</v>
      </c>
      <c r="B2237" s="474" t="s">
        <v>1217</v>
      </c>
      <c r="C2237" s="473">
        <v>380</v>
      </c>
      <c r="D2237" s="478">
        <v>12205</v>
      </c>
      <c r="E2237" s="474">
        <v>38943</v>
      </c>
      <c r="F2237" s="475" t="s">
        <v>446</v>
      </c>
      <c r="G2237" s="476">
        <v>69</v>
      </c>
      <c r="H2237" s="475" t="s">
        <v>1372</v>
      </c>
      <c r="I2237" s="487" t="s">
        <v>1373</v>
      </c>
      <c r="J2237" s="510">
        <v>6.61</v>
      </c>
    </row>
    <row r="2238" spans="1:10" ht="20.25" customHeight="1">
      <c r="A2238" s="471">
        <v>5311</v>
      </c>
      <c r="B2238" s="474" t="s">
        <v>1217</v>
      </c>
      <c r="C2238" s="473">
        <v>381</v>
      </c>
      <c r="D2238" s="478">
        <v>12205</v>
      </c>
      <c r="E2238" s="474">
        <v>38943</v>
      </c>
      <c r="F2238" s="475" t="s">
        <v>446</v>
      </c>
      <c r="G2238" s="476">
        <v>69</v>
      </c>
      <c r="H2238" s="475" t="s">
        <v>1372</v>
      </c>
      <c r="I2238" s="487" t="s">
        <v>1373</v>
      </c>
      <c r="J2238" s="510">
        <v>6.61</v>
      </c>
    </row>
    <row r="2239" spans="1:10" ht="20.25" customHeight="1">
      <c r="A2239" s="471">
        <v>5311</v>
      </c>
      <c r="B2239" s="474" t="s">
        <v>1217</v>
      </c>
      <c r="C2239" s="473">
        <v>382</v>
      </c>
      <c r="D2239" s="478">
        <v>12205</v>
      </c>
      <c r="E2239" s="474">
        <v>38943</v>
      </c>
      <c r="F2239" s="475" t="s">
        <v>446</v>
      </c>
      <c r="G2239" s="476">
        <v>69</v>
      </c>
      <c r="H2239" s="475" t="s">
        <v>1372</v>
      </c>
      <c r="I2239" s="487" t="s">
        <v>1373</v>
      </c>
      <c r="J2239" s="510">
        <v>6.61</v>
      </c>
    </row>
    <row r="2240" spans="1:10" ht="20.25" customHeight="1">
      <c r="A2240" s="471">
        <v>5311</v>
      </c>
      <c r="B2240" s="474" t="s">
        <v>1217</v>
      </c>
      <c r="C2240" s="473">
        <v>383</v>
      </c>
      <c r="D2240" s="478">
        <v>12205</v>
      </c>
      <c r="E2240" s="474">
        <v>38943</v>
      </c>
      <c r="F2240" s="475" t="s">
        <v>446</v>
      </c>
      <c r="G2240" s="476">
        <v>69</v>
      </c>
      <c r="H2240" s="475" t="s">
        <v>1372</v>
      </c>
      <c r="I2240" s="487" t="s">
        <v>1373</v>
      </c>
      <c r="J2240" s="510">
        <v>6.61</v>
      </c>
    </row>
    <row r="2241" spans="1:10" ht="20.25" customHeight="1">
      <c r="A2241" s="471">
        <v>5311</v>
      </c>
      <c r="B2241" s="474" t="s">
        <v>1217</v>
      </c>
      <c r="C2241" s="473">
        <v>384</v>
      </c>
      <c r="D2241" s="478">
        <v>12205</v>
      </c>
      <c r="E2241" s="474">
        <v>38943</v>
      </c>
      <c r="F2241" s="475" t="s">
        <v>446</v>
      </c>
      <c r="G2241" s="476">
        <v>69</v>
      </c>
      <c r="H2241" s="475" t="s">
        <v>1372</v>
      </c>
      <c r="I2241" s="487" t="s">
        <v>1373</v>
      </c>
      <c r="J2241" s="510">
        <v>6.61</v>
      </c>
    </row>
    <row r="2242" spans="1:10" ht="20.25" customHeight="1">
      <c r="A2242" s="471">
        <v>5311</v>
      </c>
      <c r="B2242" s="474" t="s">
        <v>1217</v>
      </c>
      <c r="C2242" s="473">
        <v>385</v>
      </c>
      <c r="D2242" s="478">
        <v>12205</v>
      </c>
      <c r="E2242" s="474">
        <v>38943</v>
      </c>
      <c r="F2242" s="475" t="s">
        <v>446</v>
      </c>
      <c r="G2242" s="476">
        <v>69</v>
      </c>
      <c r="H2242" s="475" t="s">
        <v>1372</v>
      </c>
      <c r="I2242" s="487" t="s">
        <v>1373</v>
      </c>
      <c r="J2242" s="510">
        <v>6.61</v>
      </c>
    </row>
    <row r="2243" spans="1:10" ht="20.25" customHeight="1">
      <c r="A2243" s="471">
        <v>5311</v>
      </c>
      <c r="B2243" s="474" t="s">
        <v>1217</v>
      </c>
      <c r="C2243" s="473">
        <v>386</v>
      </c>
      <c r="D2243" s="478">
        <v>12205</v>
      </c>
      <c r="E2243" s="474">
        <v>38943</v>
      </c>
      <c r="F2243" s="475" t="s">
        <v>446</v>
      </c>
      <c r="G2243" s="476">
        <v>69</v>
      </c>
      <c r="H2243" s="475" t="s">
        <v>1372</v>
      </c>
      <c r="I2243" s="487" t="s">
        <v>1373</v>
      </c>
      <c r="J2243" s="510">
        <v>6.61</v>
      </c>
    </row>
    <row r="2244" spans="1:10" ht="20.25" customHeight="1">
      <c r="A2244" s="471">
        <v>5311</v>
      </c>
      <c r="B2244" s="474" t="s">
        <v>1217</v>
      </c>
      <c r="C2244" s="473">
        <v>387</v>
      </c>
      <c r="D2244" s="478">
        <v>12205</v>
      </c>
      <c r="E2244" s="474">
        <v>38943</v>
      </c>
      <c r="F2244" s="475" t="s">
        <v>446</v>
      </c>
      <c r="G2244" s="476">
        <v>69</v>
      </c>
      <c r="H2244" s="475" t="s">
        <v>1372</v>
      </c>
      <c r="I2244" s="487" t="s">
        <v>1373</v>
      </c>
      <c r="J2244" s="510">
        <v>6.61</v>
      </c>
    </row>
    <row r="2245" spans="1:10" ht="20.25" customHeight="1">
      <c r="A2245" s="471">
        <v>5311</v>
      </c>
      <c r="B2245" s="474" t="s">
        <v>1217</v>
      </c>
      <c r="C2245" s="473">
        <v>388</v>
      </c>
      <c r="D2245" s="478">
        <v>12205</v>
      </c>
      <c r="E2245" s="474">
        <v>38943</v>
      </c>
      <c r="F2245" s="475" t="s">
        <v>446</v>
      </c>
      <c r="G2245" s="476">
        <v>69</v>
      </c>
      <c r="H2245" s="475" t="s">
        <v>1372</v>
      </c>
      <c r="I2245" s="487" t="s">
        <v>1373</v>
      </c>
      <c r="J2245" s="510">
        <v>6.61</v>
      </c>
    </row>
    <row r="2246" spans="1:10" ht="20.25" customHeight="1">
      <c r="A2246" s="471">
        <v>5311</v>
      </c>
      <c r="B2246" s="474" t="s">
        <v>1217</v>
      </c>
      <c r="C2246" s="473">
        <v>389</v>
      </c>
      <c r="D2246" s="478">
        <v>12205</v>
      </c>
      <c r="E2246" s="474">
        <v>38943</v>
      </c>
      <c r="F2246" s="475" t="s">
        <v>446</v>
      </c>
      <c r="G2246" s="476">
        <v>69</v>
      </c>
      <c r="H2246" s="475" t="s">
        <v>1372</v>
      </c>
      <c r="I2246" s="487" t="s">
        <v>1373</v>
      </c>
      <c r="J2246" s="510">
        <v>6.61</v>
      </c>
    </row>
    <row r="2247" spans="1:10" ht="20.25" customHeight="1">
      <c r="A2247" s="471">
        <v>5311</v>
      </c>
      <c r="B2247" s="474" t="s">
        <v>1217</v>
      </c>
      <c r="C2247" s="473">
        <v>390</v>
      </c>
      <c r="D2247" s="478">
        <v>12205</v>
      </c>
      <c r="E2247" s="474">
        <v>38943</v>
      </c>
      <c r="F2247" s="475" t="s">
        <v>446</v>
      </c>
      <c r="G2247" s="476">
        <v>69</v>
      </c>
      <c r="H2247" s="475" t="s">
        <v>1372</v>
      </c>
      <c r="I2247" s="487" t="s">
        <v>1373</v>
      </c>
      <c r="J2247" s="510">
        <v>6.61</v>
      </c>
    </row>
    <row r="2248" spans="1:10" ht="20.25" customHeight="1">
      <c r="A2248" s="471">
        <v>5311</v>
      </c>
      <c r="B2248" s="474" t="s">
        <v>1217</v>
      </c>
      <c r="C2248" s="473">
        <v>391</v>
      </c>
      <c r="D2248" s="478">
        <v>12205</v>
      </c>
      <c r="E2248" s="474">
        <v>38943</v>
      </c>
      <c r="F2248" s="475" t="s">
        <v>446</v>
      </c>
      <c r="G2248" s="476">
        <v>69</v>
      </c>
      <c r="H2248" s="475" t="s">
        <v>1372</v>
      </c>
      <c r="I2248" s="487" t="s">
        <v>1373</v>
      </c>
      <c r="J2248" s="510">
        <v>6.61</v>
      </c>
    </row>
    <row r="2249" spans="1:10" ht="20.25" customHeight="1">
      <c r="A2249" s="471">
        <v>5311</v>
      </c>
      <c r="B2249" s="474" t="s">
        <v>1217</v>
      </c>
      <c r="C2249" s="473">
        <v>392</v>
      </c>
      <c r="D2249" s="478">
        <v>12205</v>
      </c>
      <c r="E2249" s="474">
        <v>38943</v>
      </c>
      <c r="F2249" s="475" t="s">
        <v>446</v>
      </c>
      <c r="G2249" s="476">
        <v>69</v>
      </c>
      <c r="H2249" s="475" t="s">
        <v>1372</v>
      </c>
      <c r="I2249" s="487" t="s">
        <v>1373</v>
      </c>
      <c r="J2249" s="510">
        <v>6.61</v>
      </c>
    </row>
    <row r="2250" spans="1:10" ht="20.25" customHeight="1">
      <c r="A2250" s="471">
        <v>5311</v>
      </c>
      <c r="B2250" s="474" t="s">
        <v>1217</v>
      </c>
      <c r="C2250" s="473">
        <v>393</v>
      </c>
      <c r="D2250" s="478">
        <v>12205</v>
      </c>
      <c r="E2250" s="474">
        <v>38943</v>
      </c>
      <c r="F2250" s="475" t="s">
        <v>446</v>
      </c>
      <c r="G2250" s="476">
        <v>69</v>
      </c>
      <c r="H2250" s="475" t="s">
        <v>1372</v>
      </c>
      <c r="I2250" s="487" t="s">
        <v>1373</v>
      </c>
      <c r="J2250" s="510">
        <v>6.61</v>
      </c>
    </row>
    <row r="2251" spans="1:10" ht="20.25" customHeight="1">
      <c r="A2251" s="471">
        <v>5311</v>
      </c>
      <c r="B2251" s="474" t="s">
        <v>1217</v>
      </c>
      <c r="C2251" s="473">
        <v>394</v>
      </c>
      <c r="D2251" s="478">
        <v>12205</v>
      </c>
      <c r="E2251" s="474">
        <v>38943</v>
      </c>
      <c r="F2251" s="475" t="s">
        <v>446</v>
      </c>
      <c r="G2251" s="476">
        <v>69</v>
      </c>
      <c r="H2251" s="475" t="s">
        <v>1372</v>
      </c>
      <c r="I2251" s="487" t="s">
        <v>1373</v>
      </c>
      <c r="J2251" s="510">
        <v>6.61</v>
      </c>
    </row>
    <row r="2252" spans="1:10" ht="20.25" customHeight="1">
      <c r="A2252" s="471">
        <v>5311</v>
      </c>
      <c r="B2252" s="474" t="s">
        <v>1217</v>
      </c>
      <c r="C2252" s="473">
        <v>395</v>
      </c>
      <c r="D2252" s="478">
        <v>12205</v>
      </c>
      <c r="E2252" s="474">
        <v>38943</v>
      </c>
      <c r="F2252" s="475" t="s">
        <v>446</v>
      </c>
      <c r="G2252" s="476">
        <v>69</v>
      </c>
      <c r="H2252" s="475" t="s">
        <v>1372</v>
      </c>
      <c r="I2252" s="487" t="s">
        <v>1373</v>
      </c>
      <c r="J2252" s="510">
        <v>6.61</v>
      </c>
    </row>
    <row r="2253" spans="1:10" ht="20.25" customHeight="1">
      <c r="A2253" s="471">
        <v>5311</v>
      </c>
      <c r="B2253" s="474" t="s">
        <v>1217</v>
      </c>
      <c r="C2253" s="473">
        <v>396</v>
      </c>
      <c r="D2253" s="478">
        <v>12205</v>
      </c>
      <c r="E2253" s="474">
        <v>38943</v>
      </c>
      <c r="F2253" s="475" t="s">
        <v>446</v>
      </c>
      <c r="G2253" s="476">
        <v>69</v>
      </c>
      <c r="H2253" s="475" t="s">
        <v>1372</v>
      </c>
      <c r="I2253" s="487" t="s">
        <v>1373</v>
      </c>
      <c r="J2253" s="510">
        <v>6.61</v>
      </c>
    </row>
    <row r="2254" spans="1:10" ht="20.25" customHeight="1">
      <c r="A2254" s="471">
        <v>5311</v>
      </c>
      <c r="B2254" s="474" t="s">
        <v>1217</v>
      </c>
      <c r="C2254" s="473">
        <v>397</v>
      </c>
      <c r="D2254" s="478">
        <v>12205</v>
      </c>
      <c r="E2254" s="474">
        <v>38943</v>
      </c>
      <c r="F2254" s="475" t="s">
        <v>446</v>
      </c>
      <c r="G2254" s="476">
        <v>69</v>
      </c>
      <c r="H2254" s="475" t="s">
        <v>1372</v>
      </c>
      <c r="I2254" s="487" t="s">
        <v>1373</v>
      </c>
      <c r="J2254" s="510">
        <v>6.61</v>
      </c>
    </row>
    <row r="2255" spans="1:10" ht="20.25" customHeight="1">
      <c r="A2255" s="471">
        <v>5661</v>
      </c>
      <c r="B2255" s="474" t="s">
        <v>1217</v>
      </c>
      <c r="C2255" s="473">
        <v>1</v>
      </c>
      <c r="D2255" s="478">
        <v>12205</v>
      </c>
      <c r="E2255" s="474">
        <v>38943</v>
      </c>
      <c r="F2255" s="475" t="s">
        <v>446</v>
      </c>
      <c r="G2255" s="476">
        <v>79</v>
      </c>
      <c r="H2255" s="475" t="s">
        <v>1374</v>
      </c>
      <c r="I2255" s="487" t="s">
        <v>1375</v>
      </c>
      <c r="J2255" s="509">
        <v>8383.3333299999995</v>
      </c>
    </row>
    <row r="2256" spans="1:10" ht="20.25" customHeight="1">
      <c r="A2256" s="471">
        <v>5661</v>
      </c>
      <c r="B2256" s="474" t="s">
        <v>1217</v>
      </c>
      <c r="C2256" s="473">
        <v>2</v>
      </c>
      <c r="D2256" s="478">
        <v>12205</v>
      </c>
      <c r="E2256" s="474">
        <v>38943</v>
      </c>
      <c r="F2256" s="475" t="s">
        <v>446</v>
      </c>
      <c r="G2256" s="476">
        <v>79</v>
      </c>
      <c r="H2256" s="475" t="s">
        <v>1374</v>
      </c>
      <c r="I2256" s="487" t="s">
        <v>1375</v>
      </c>
      <c r="J2256" s="509">
        <v>8383.3333299999995</v>
      </c>
    </row>
    <row r="2257" spans="1:10" ht="20.25" customHeight="1">
      <c r="A2257" s="471">
        <v>5661</v>
      </c>
      <c r="B2257" s="474" t="s">
        <v>1217</v>
      </c>
      <c r="C2257" s="473">
        <v>3</v>
      </c>
      <c r="D2257" s="478">
        <v>12205</v>
      </c>
      <c r="E2257" s="474">
        <v>38943</v>
      </c>
      <c r="F2257" s="475" t="s">
        <v>446</v>
      </c>
      <c r="G2257" s="476">
        <v>79</v>
      </c>
      <c r="H2257" s="475" t="s">
        <v>1374</v>
      </c>
      <c r="I2257" s="487" t="s">
        <v>1375</v>
      </c>
      <c r="J2257" s="509">
        <v>8383.3333299999995</v>
      </c>
    </row>
    <row r="2258" spans="1:10" ht="20.25" customHeight="1">
      <c r="A2258" s="471">
        <v>5111</v>
      </c>
      <c r="B2258" s="474" t="s">
        <v>1217</v>
      </c>
      <c r="C2258" s="473">
        <v>508</v>
      </c>
      <c r="D2258" s="478">
        <v>15</v>
      </c>
      <c r="E2258" s="474">
        <v>38944</v>
      </c>
      <c r="F2258" s="475" t="s">
        <v>446</v>
      </c>
      <c r="G2258" s="476">
        <v>22</v>
      </c>
      <c r="H2258" s="475" t="s">
        <v>1376</v>
      </c>
      <c r="I2258" s="487" t="s">
        <v>1377</v>
      </c>
      <c r="J2258" s="509">
        <v>278.3</v>
      </c>
    </row>
    <row r="2259" spans="1:10" ht="20.25" customHeight="1">
      <c r="A2259" s="471">
        <v>5111</v>
      </c>
      <c r="B2259" s="474" t="s">
        <v>1217</v>
      </c>
      <c r="C2259" s="473">
        <v>509</v>
      </c>
      <c r="D2259" s="478">
        <v>15</v>
      </c>
      <c r="E2259" s="474">
        <v>38944</v>
      </c>
      <c r="F2259" s="475" t="s">
        <v>446</v>
      </c>
      <c r="G2259" s="476">
        <v>22</v>
      </c>
      <c r="H2259" s="475" t="s">
        <v>1376</v>
      </c>
      <c r="I2259" s="487" t="s">
        <v>1377</v>
      </c>
      <c r="J2259" s="509">
        <v>278.3</v>
      </c>
    </row>
    <row r="2260" spans="1:10" ht="20.25" customHeight="1">
      <c r="A2260" s="471">
        <v>5111</v>
      </c>
      <c r="B2260" s="474" t="s">
        <v>1217</v>
      </c>
      <c r="C2260" s="473">
        <v>510</v>
      </c>
      <c r="D2260" s="478">
        <v>15</v>
      </c>
      <c r="E2260" s="474">
        <v>38944</v>
      </c>
      <c r="F2260" s="475" t="s">
        <v>446</v>
      </c>
      <c r="G2260" s="476">
        <v>22</v>
      </c>
      <c r="H2260" s="475" t="s">
        <v>1376</v>
      </c>
      <c r="I2260" s="487" t="s">
        <v>1377</v>
      </c>
      <c r="J2260" s="509">
        <v>278.3</v>
      </c>
    </row>
    <row r="2261" spans="1:10" ht="20.25" customHeight="1">
      <c r="A2261" s="471">
        <v>5111</v>
      </c>
      <c r="B2261" s="474" t="s">
        <v>1217</v>
      </c>
      <c r="C2261" s="473">
        <v>511</v>
      </c>
      <c r="D2261" s="478">
        <v>15</v>
      </c>
      <c r="E2261" s="474">
        <v>38944</v>
      </c>
      <c r="F2261" s="475" t="s">
        <v>446</v>
      </c>
      <c r="G2261" s="476">
        <v>22</v>
      </c>
      <c r="H2261" s="475" t="s">
        <v>1376</v>
      </c>
      <c r="I2261" s="487" t="s">
        <v>1377</v>
      </c>
      <c r="J2261" s="509">
        <v>278.3</v>
      </c>
    </row>
    <row r="2262" spans="1:10" ht="20.25" customHeight="1">
      <c r="A2262" s="471">
        <v>5111</v>
      </c>
      <c r="B2262" s="474" t="s">
        <v>1217</v>
      </c>
      <c r="C2262" s="473">
        <v>512</v>
      </c>
      <c r="D2262" s="478">
        <v>15</v>
      </c>
      <c r="E2262" s="474">
        <v>38944</v>
      </c>
      <c r="F2262" s="475" t="s">
        <v>446</v>
      </c>
      <c r="G2262" s="476">
        <v>22</v>
      </c>
      <c r="H2262" s="475" t="s">
        <v>1376</v>
      </c>
      <c r="I2262" s="487" t="s">
        <v>1377</v>
      </c>
      <c r="J2262" s="509">
        <v>278.3</v>
      </c>
    </row>
    <row r="2263" spans="1:10" ht="20.25" customHeight="1">
      <c r="A2263" s="471">
        <v>5111</v>
      </c>
      <c r="B2263" s="474" t="s">
        <v>1217</v>
      </c>
      <c r="C2263" s="473">
        <v>513</v>
      </c>
      <c r="D2263" s="478">
        <v>15</v>
      </c>
      <c r="E2263" s="474">
        <v>38944</v>
      </c>
      <c r="F2263" s="475" t="s">
        <v>446</v>
      </c>
      <c r="G2263" s="476">
        <v>22</v>
      </c>
      <c r="H2263" s="475" t="s">
        <v>1376</v>
      </c>
      <c r="I2263" s="487" t="s">
        <v>1377</v>
      </c>
      <c r="J2263" s="509">
        <v>278.3</v>
      </c>
    </row>
    <row r="2264" spans="1:10" ht="20.25" customHeight="1">
      <c r="A2264" s="471">
        <v>5111</v>
      </c>
      <c r="B2264" s="474" t="s">
        <v>1217</v>
      </c>
      <c r="C2264" s="473">
        <v>514</v>
      </c>
      <c r="D2264" s="478">
        <v>15</v>
      </c>
      <c r="E2264" s="474">
        <v>38944</v>
      </c>
      <c r="F2264" s="475" t="s">
        <v>446</v>
      </c>
      <c r="G2264" s="476">
        <v>22</v>
      </c>
      <c r="H2264" s="475" t="s">
        <v>1376</v>
      </c>
      <c r="I2264" s="487" t="s">
        <v>1377</v>
      </c>
      <c r="J2264" s="509">
        <v>278.3</v>
      </c>
    </row>
    <row r="2265" spans="1:10" ht="20.25" customHeight="1">
      <c r="A2265" s="471">
        <v>5111</v>
      </c>
      <c r="B2265" s="474" t="s">
        <v>1217</v>
      </c>
      <c r="C2265" s="473">
        <v>515</v>
      </c>
      <c r="D2265" s="478">
        <v>15</v>
      </c>
      <c r="E2265" s="474">
        <v>38944</v>
      </c>
      <c r="F2265" s="475" t="s">
        <v>446</v>
      </c>
      <c r="G2265" s="476">
        <v>22</v>
      </c>
      <c r="H2265" s="475" t="s">
        <v>1376</v>
      </c>
      <c r="I2265" s="487" t="s">
        <v>1377</v>
      </c>
      <c r="J2265" s="509">
        <v>278.3</v>
      </c>
    </row>
    <row r="2266" spans="1:10" ht="20.25" customHeight="1">
      <c r="A2266" s="471">
        <v>5111</v>
      </c>
      <c r="B2266" s="474" t="s">
        <v>1217</v>
      </c>
      <c r="C2266" s="473">
        <v>516</v>
      </c>
      <c r="D2266" s="478">
        <v>15</v>
      </c>
      <c r="E2266" s="474">
        <v>38944</v>
      </c>
      <c r="F2266" s="475" t="s">
        <v>446</v>
      </c>
      <c r="G2266" s="476">
        <v>22</v>
      </c>
      <c r="H2266" s="475" t="s">
        <v>1376</v>
      </c>
      <c r="I2266" s="487" t="s">
        <v>1377</v>
      </c>
      <c r="J2266" s="509">
        <v>278.3</v>
      </c>
    </row>
    <row r="2267" spans="1:10" ht="20.25" customHeight="1">
      <c r="A2267" s="471">
        <v>5111</v>
      </c>
      <c r="B2267" s="474" t="s">
        <v>1217</v>
      </c>
      <c r="C2267" s="473">
        <v>517</v>
      </c>
      <c r="D2267" s="478">
        <v>15</v>
      </c>
      <c r="E2267" s="474">
        <v>38944</v>
      </c>
      <c r="F2267" s="475" t="s">
        <v>446</v>
      </c>
      <c r="G2267" s="476">
        <v>22</v>
      </c>
      <c r="H2267" s="475" t="s">
        <v>1376</v>
      </c>
      <c r="I2267" s="487" t="s">
        <v>1377</v>
      </c>
      <c r="J2267" s="509">
        <v>278.3</v>
      </c>
    </row>
    <row r="2268" spans="1:10" ht="20.25" customHeight="1">
      <c r="A2268" s="471">
        <v>5111</v>
      </c>
      <c r="B2268" s="474" t="s">
        <v>1217</v>
      </c>
      <c r="C2268" s="473">
        <v>518</v>
      </c>
      <c r="D2268" s="478">
        <v>15</v>
      </c>
      <c r="E2268" s="474">
        <v>38944</v>
      </c>
      <c r="F2268" s="475" t="s">
        <v>446</v>
      </c>
      <c r="G2268" s="476">
        <v>22</v>
      </c>
      <c r="H2268" s="475" t="s">
        <v>1376</v>
      </c>
      <c r="I2268" s="487" t="s">
        <v>1377</v>
      </c>
      <c r="J2268" s="509">
        <v>278.3</v>
      </c>
    </row>
    <row r="2269" spans="1:10" ht="20.25" customHeight="1">
      <c r="A2269" s="471">
        <v>5111</v>
      </c>
      <c r="B2269" s="474" t="s">
        <v>1217</v>
      </c>
      <c r="C2269" s="473">
        <v>519</v>
      </c>
      <c r="D2269" s="478">
        <v>15</v>
      </c>
      <c r="E2269" s="474">
        <v>38944</v>
      </c>
      <c r="F2269" s="475" t="s">
        <v>446</v>
      </c>
      <c r="G2269" s="476">
        <v>22</v>
      </c>
      <c r="H2269" s="475" t="s">
        <v>1376</v>
      </c>
      <c r="I2269" s="487" t="s">
        <v>1377</v>
      </c>
      <c r="J2269" s="509">
        <v>278.3</v>
      </c>
    </row>
    <row r="2270" spans="1:10" ht="20.25" customHeight="1">
      <c r="A2270" s="471">
        <v>5111</v>
      </c>
      <c r="B2270" s="474" t="s">
        <v>1217</v>
      </c>
      <c r="C2270" s="473">
        <v>520</v>
      </c>
      <c r="D2270" s="478">
        <v>15</v>
      </c>
      <c r="E2270" s="474">
        <v>38944</v>
      </c>
      <c r="F2270" s="475" t="s">
        <v>446</v>
      </c>
      <c r="G2270" s="476">
        <v>22</v>
      </c>
      <c r="H2270" s="475" t="s">
        <v>1376</v>
      </c>
      <c r="I2270" s="487" t="s">
        <v>1377</v>
      </c>
      <c r="J2270" s="509">
        <v>278.3</v>
      </c>
    </row>
    <row r="2271" spans="1:10" ht="20.25" customHeight="1">
      <c r="A2271" s="471">
        <v>5111</v>
      </c>
      <c r="B2271" s="474" t="s">
        <v>1217</v>
      </c>
      <c r="C2271" s="473">
        <v>521</v>
      </c>
      <c r="D2271" s="478">
        <v>15</v>
      </c>
      <c r="E2271" s="474">
        <v>38944</v>
      </c>
      <c r="F2271" s="475" t="s">
        <v>446</v>
      </c>
      <c r="G2271" s="476">
        <v>22</v>
      </c>
      <c r="H2271" s="475" t="s">
        <v>1376</v>
      </c>
      <c r="I2271" s="487" t="s">
        <v>1377</v>
      </c>
      <c r="J2271" s="509">
        <v>278.3</v>
      </c>
    </row>
    <row r="2272" spans="1:10" ht="20.25" customHeight="1">
      <c r="A2272" s="471">
        <v>5111</v>
      </c>
      <c r="B2272" s="474" t="s">
        <v>1217</v>
      </c>
      <c r="C2272" s="473">
        <v>522</v>
      </c>
      <c r="D2272" s="478">
        <v>15</v>
      </c>
      <c r="E2272" s="474">
        <v>38944</v>
      </c>
      <c r="F2272" s="475" t="s">
        <v>446</v>
      </c>
      <c r="G2272" s="476">
        <v>22</v>
      </c>
      <c r="H2272" s="475" t="s">
        <v>1376</v>
      </c>
      <c r="I2272" s="487" t="s">
        <v>1377</v>
      </c>
      <c r="J2272" s="509">
        <v>278.3</v>
      </c>
    </row>
    <row r="2273" spans="1:10" ht="20.25" customHeight="1">
      <c r="A2273" s="471">
        <v>5111</v>
      </c>
      <c r="B2273" s="474" t="s">
        <v>1217</v>
      </c>
      <c r="C2273" s="473">
        <v>523</v>
      </c>
      <c r="D2273" s="478">
        <v>15</v>
      </c>
      <c r="E2273" s="474">
        <v>38944</v>
      </c>
      <c r="F2273" s="475" t="s">
        <v>446</v>
      </c>
      <c r="G2273" s="476">
        <v>22</v>
      </c>
      <c r="H2273" s="475" t="s">
        <v>1376</v>
      </c>
      <c r="I2273" s="487" t="s">
        <v>1377</v>
      </c>
      <c r="J2273" s="509">
        <v>278.3</v>
      </c>
    </row>
    <row r="2274" spans="1:10" ht="20.25" customHeight="1">
      <c r="A2274" s="471">
        <v>5111</v>
      </c>
      <c r="B2274" s="474" t="s">
        <v>1217</v>
      </c>
      <c r="C2274" s="473">
        <v>524</v>
      </c>
      <c r="D2274" s="478">
        <v>15</v>
      </c>
      <c r="E2274" s="474">
        <v>38944</v>
      </c>
      <c r="F2274" s="475" t="s">
        <v>446</v>
      </c>
      <c r="G2274" s="476">
        <v>22</v>
      </c>
      <c r="H2274" s="475" t="s">
        <v>1376</v>
      </c>
      <c r="I2274" s="487" t="s">
        <v>1377</v>
      </c>
      <c r="J2274" s="509">
        <v>278.3</v>
      </c>
    </row>
    <row r="2275" spans="1:10" ht="20.25" customHeight="1">
      <c r="A2275" s="471">
        <v>5111</v>
      </c>
      <c r="B2275" s="474" t="s">
        <v>1217</v>
      </c>
      <c r="C2275" s="473">
        <v>525</v>
      </c>
      <c r="D2275" s="478">
        <v>15</v>
      </c>
      <c r="E2275" s="474">
        <v>38944</v>
      </c>
      <c r="F2275" s="475" t="s">
        <v>446</v>
      </c>
      <c r="G2275" s="476">
        <v>22</v>
      </c>
      <c r="H2275" s="475" t="s">
        <v>1376</v>
      </c>
      <c r="I2275" s="487" t="s">
        <v>1377</v>
      </c>
      <c r="J2275" s="509">
        <v>278.3</v>
      </c>
    </row>
    <row r="2276" spans="1:10" ht="20.25" customHeight="1">
      <c r="A2276" s="471">
        <v>5111</v>
      </c>
      <c r="B2276" s="474" t="s">
        <v>1217</v>
      </c>
      <c r="C2276" s="473">
        <v>526</v>
      </c>
      <c r="D2276" s="478">
        <v>15</v>
      </c>
      <c r="E2276" s="474">
        <v>38944</v>
      </c>
      <c r="F2276" s="475" t="s">
        <v>446</v>
      </c>
      <c r="G2276" s="476">
        <v>22</v>
      </c>
      <c r="H2276" s="475" t="s">
        <v>1376</v>
      </c>
      <c r="I2276" s="487" t="s">
        <v>1377</v>
      </c>
      <c r="J2276" s="509">
        <v>278.3</v>
      </c>
    </row>
    <row r="2277" spans="1:10" ht="20.25" customHeight="1">
      <c r="A2277" s="471">
        <v>5111</v>
      </c>
      <c r="B2277" s="474" t="s">
        <v>1217</v>
      </c>
      <c r="C2277" s="473">
        <v>527</v>
      </c>
      <c r="D2277" s="478">
        <v>15</v>
      </c>
      <c r="E2277" s="474">
        <v>38944</v>
      </c>
      <c r="F2277" s="475" t="s">
        <v>446</v>
      </c>
      <c r="G2277" s="476">
        <v>22</v>
      </c>
      <c r="H2277" s="475" t="s">
        <v>1376</v>
      </c>
      <c r="I2277" s="487" t="s">
        <v>1377</v>
      </c>
      <c r="J2277" s="509">
        <v>278.3</v>
      </c>
    </row>
    <row r="2278" spans="1:10" ht="20.25" customHeight="1">
      <c r="A2278" s="471">
        <v>5111</v>
      </c>
      <c r="B2278" s="474" t="s">
        <v>1217</v>
      </c>
      <c r="C2278" s="473">
        <v>528</v>
      </c>
      <c r="D2278" s="478">
        <v>15</v>
      </c>
      <c r="E2278" s="474">
        <v>38944</v>
      </c>
      <c r="F2278" s="475" t="s">
        <v>446</v>
      </c>
      <c r="G2278" s="476">
        <v>22</v>
      </c>
      <c r="H2278" s="475" t="s">
        <v>1376</v>
      </c>
      <c r="I2278" s="487" t="s">
        <v>1377</v>
      </c>
      <c r="J2278" s="509">
        <v>278.3</v>
      </c>
    </row>
    <row r="2279" spans="1:10" ht="20.25" customHeight="1">
      <c r="A2279" s="471">
        <v>5111</v>
      </c>
      <c r="B2279" s="474" t="s">
        <v>1217</v>
      </c>
      <c r="C2279" s="473">
        <v>529</v>
      </c>
      <c r="D2279" s="478">
        <v>15</v>
      </c>
      <c r="E2279" s="474">
        <v>38944</v>
      </c>
      <c r="F2279" s="475" t="s">
        <v>446</v>
      </c>
      <c r="G2279" s="476">
        <v>22</v>
      </c>
      <c r="H2279" s="475" t="s">
        <v>1376</v>
      </c>
      <c r="I2279" s="487" t="s">
        <v>1377</v>
      </c>
      <c r="J2279" s="509">
        <v>278.3</v>
      </c>
    </row>
    <row r="2280" spans="1:10" ht="20.25" customHeight="1">
      <c r="A2280" s="471">
        <v>5111</v>
      </c>
      <c r="B2280" s="474" t="s">
        <v>1217</v>
      </c>
      <c r="C2280" s="473">
        <v>530</v>
      </c>
      <c r="D2280" s="478">
        <v>15</v>
      </c>
      <c r="E2280" s="474">
        <v>38944</v>
      </c>
      <c r="F2280" s="475" t="s">
        <v>446</v>
      </c>
      <c r="G2280" s="476">
        <v>22</v>
      </c>
      <c r="H2280" s="475" t="s">
        <v>1376</v>
      </c>
      <c r="I2280" s="487" t="s">
        <v>1377</v>
      </c>
      <c r="J2280" s="509">
        <v>278.3</v>
      </c>
    </row>
    <row r="2281" spans="1:10" ht="20.25" customHeight="1">
      <c r="A2281" s="471">
        <v>5111</v>
      </c>
      <c r="B2281" s="474" t="s">
        <v>1217</v>
      </c>
      <c r="C2281" s="473">
        <v>531</v>
      </c>
      <c r="D2281" s="478">
        <v>15</v>
      </c>
      <c r="E2281" s="474">
        <v>38944</v>
      </c>
      <c r="F2281" s="475" t="s">
        <v>446</v>
      </c>
      <c r="G2281" s="476">
        <v>22</v>
      </c>
      <c r="H2281" s="475" t="s">
        <v>1376</v>
      </c>
      <c r="I2281" s="487" t="s">
        <v>1377</v>
      </c>
      <c r="J2281" s="509">
        <v>278.3</v>
      </c>
    </row>
    <row r="2282" spans="1:10" ht="20.25" customHeight="1">
      <c r="A2282" s="471">
        <v>5111</v>
      </c>
      <c r="B2282" s="474" t="s">
        <v>1217</v>
      </c>
      <c r="C2282" s="473">
        <v>532</v>
      </c>
      <c r="D2282" s="478">
        <v>15</v>
      </c>
      <c r="E2282" s="474">
        <v>38944</v>
      </c>
      <c r="F2282" s="475" t="s">
        <v>446</v>
      </c>
      <c r="G2282" s="476">
        <v>22</v>
      </c>
      <c r="H2282" s="475" t="s">
        <v>1376</v>
      </c>
      <c r="I2282" s="487" t="s">
        <v>1377</v>
      </c>
      <c r="J2282" s="509">
        <v>278.3</v>
      </c>
    </row>
    <row r="2283" spans="1:10" ht="20.25" customHeight="1">
      <c r="A2283" s="471">
        <v>5111</v>
      </c>
      <c r="B2283" s="474" t="s">
        <v>1217</v>
      </c>
      <c r="C2283" s="473">
        <v>533</v>
      </c>
      <c r="D2283" s="478">
        <v>15</v>
      </c>
      <c r="E2283" s="474">
        <v>38944</v>
      </c>
      <c r="F2283" s="475" t="s">
        <v>446</v>
      </c>
      <c r="G2283" s="476">
        <v>22</v>
      </c>
      <c r="H2283" s="475" t="s">
        <v>1376</v>
      </c>
      <c r="I2283" s="487" t="s">
        <v>1377</v>
      </c>
      <c r="J2283" s="509">
        <v>278.3</v>
      </c>
    </row>
    <row r="2284" spans="1:10" ht="20.25" customHeight="1">
      <c r="A2284" s="471">
        <v>5111</v>
      </c>
      <c r="B2284" s="474" t="s">
        <v>1217</v>
      </c>
      <c r="C2284" s="473">
        <v>534</v>
      </c>
      <c r="D2284" s="478">
        <v>15</v>
      </c>
      <c r="E2284" s="474">
        <v>38944</v>
      </c>
      <c r="F2284" s="475" t="s">
        <v>446</v>
      </c>
      <c r="G2284" s="476">
        <v>22</v>
      </c>
      <c r="H2284" s="475" t="s">
        <v>1376</v>
      </c>
      <c r="I2284" s="487" t="s">
        <v>1377</v>
      </c>
      <c r="J2284" s="509">
        <v>278.3</v>
      </c>
    </row>
    <row r="2285" spans="1:10" ht="20.25" customHeight="1">
      <c r="A2285" s="471">
        <v>5111</v>
      </c>
      <c r="B2285" s="474" t="s">
        <v>1217</v>
      </c>
      <c r="C2285" s="473">
        <v>535</v>
      </c>
      <c r="D2285" s="478">
        <v>15</v>
      </c>
      <c r="E2285" s="474">
        <v>38944</v>
      </c>
      <c r="F2285" s="475" t="s">
        <v>446</v>
      </c>
      <c r="G2285" s="476">
        <v>22</v>
      </c>
      <c r="H2285" s="475" t="s">
        <v>1376</v>
      </c>
      <c r="I2285" s="487" t="s">
        <v>1377</v>
      </c>
      <c r="J2285" s="509">
        <v>278.3</v>
      </c>
    </row>
    <row r="2286" spans="1:10" ht="20.25" customHeight="1">
      <c r="A2286" s="471">
        <v>5111</v>
      </c>
      <c r="B2286" s="474" t="s">
        <v>1217</v>
      </c>
      <c r="C2286" s="473">
        <v>536</v>
      </c>
      <c r="D2286" s="478">
        <v>15</v>
      </c>
      <c r="E2286" s="474">
        <v>38944</v>
      </c>
      <c r="F2286" s="475" t="s">
        <v>446</v>
      </c>
      <c r="G2286" s="476">
        <v>22</v>
      </c>
      <c r="H2286" s="475" t="s">
        <v>1376</v>
      </c>
      <c r="I2286" s="487" t="s">
        <v>1377</v>
      </c>
      <c r="J2286" s="509">
        <v>278.3</v>
      </c>
    </row>
    <row r="2287" spans="1:10" ht="20.25" customHeight="1">
      <c r="A2287" s="471">
        <v>5111</v>
      </c>
      <c r="B2287" s="474" t="s">
        <v>1217</v>
      </c>
      <c r="C2287" s="473">
        <v>537</v>
      </c>
      <c r="D2287" s="478">
        <v>15</v>
      </c>
      <c r="E2287" s="474">
        <v>38944</v>
      </c>
      <c r="F2287" s="475" t="s">
        <v>446</v>
      </c>
      <c r="G2287" s="476">
        <v>22</v>
      </c>
      <c r="H2287" s="475" t="s">
        <v>1376</v>
      </c>
      <c r="I2287" s="487" t="s">
        <v>1377</v>
      </c>
      <c r="J2287" s="509">
        <v>278.3</v>
      </c>
    </row>
    <row r="2288" spans="1:10" ht="20.25" customHeight="1">
      <c r="A2288" s="471">
        <v>5111</v>
      </c>
      <c r="B2288" s="474" t="s">
        <v>1217</v>
      </c>
      <c r="C2288" s="473">
        <v>538</v>
      </c>
      <c r="D2288" s="478">
        <v>15</v>
      </c>
      <c r="E2288" s="474">
        <v>38944</v>
      </c>
      <c r="F2288" s="475" t="s">
        <v>446</v>
      </c>
      <c r="G2288" s="476">
        <v>22</v>
      </c>
      <c r="H2288" s="475" t="s">
        <v>1376</v>
      </c>
      <c r="I2288" s="487" t="s">
        <v>1377</v>
      </c>
      <c r="J2288" s="509">
        <v>278.3</v>
      </c>
    </row>
    <row r="2289" spans="1:10" ht="20.25" customHeight="1">
      <c r="A2289" s="471">
        <v>5111</v>
      </c>
      <c r="B2289" s="474" t="s">
        <v>1217</v>
      </c>
      <c r="C2289" s="473">
        <v>539</v>
      </c>
      <c r="D2289" s="478">
        <v>15</v>
      </c>
      <c r="E2289" s="474">
        <v>38944</v>
      </c>
      <c r="F2289" s="475" t="s">
        <v>446</v>
      </c>
      <c r="G2289" s="476">
        <v>22</v>
      </c>
      <c r="H2289" s="475" t="s">
        <v>1376</v>
      </c>
      <c r="I2289" s="487" t="s">
        <v>1377</v>
      </c>
      <c r="J2289" s="509">
        <v>278.3</v>
      </c>
    </row>
    <row r="2290" spans="1:10" ht="20.25" customHeight="1">
      <c r="A2290" s="471">
        <v>5111</v>
      </c>
      <c r="B2290" s="474" t="s">
        <v>1217</v>
      </c>
      <c r="C2290" s="473">
        <v>540</v>
      </c>
      <c r="D2290" s="478">
        <v>15</v>
      </c>
      <c r="E2290" s="474">
        <v>38944</v>
      </c>
      <c r="F2290" s="475" t="s">
        <v>446</v>
      </c>
      <c r="G2290" s="476">
        <v>22</v>
      </c>
      <c r="H2290" s="475" t="s">
        <v>1376</v>
      </c>
      <c r="I2290" s="487" t="s">
        <v>1377</v>
      </c>
      <c r="J2290" s="509">
        <v>278.3</v>
      </c>
    </row>
    <row r="2291" spans="1:10" ht="20.25" customHeight="1">
      <c r="A2291" s="471">
        <v>5111</v>
      </c>
      <c r="B2291" s="474" t="s">
        <v>1217</v>
      </c>
      <c r="C2291" s="473">
        <v>541</v>
      </c>
      <c r="D2291" s="478">
        <v>15</v>
      </c>
      <c r="E2291" s="474">
        <v>38944</v>
      </c>
      <c r="F2291" s="475" t="s">
        <v>446</v>
      </c>
      <c r="G2291" s="476">
        <v>22</v>
      </c>
      <c r="H2291" s="475" t="s">
        <v>1376</v>
      </c>
      <c r="I2291" s="487" t="s">
        <v>1377</v>
      </c>
      <c r="J2291" s="509">
        <v>278.3</v>
      </c>
    </row>
    <row r="2292" spans="1:10" ht="20.25" customHeight="1">
      <c r="A2292" s="471">
        <v>5111</v>
      </c>
      <c r="B2292" s="474" t="s">
        <v>1217</v>
      </c>
      <c r="C2292" s="473">
        <v>542</v>
      </c>
      <c r="D2292" s="478">
        <v>15</v>
      </c>
      <c r="E2292" s="474">
        <v>38944</v>
      </c>
      <c r="F2292" s="475" t="s">
        <v>446</v>
      </c>
      <c r="G2292" s="476">
        <v>22</v>
      </c>
      <c r="H2292" s="475" t="s">
        <v>1376</v>
      </c>
      <c r="I2292" s="487" t="s">
        <v>1377</v>
      </c>
      <c r="J2292" s="509">
        <v>278.3</v>
      </c>
    </row>
    <row r="2293" spans="1:10" ht="20.25" customHeight="1">
      <c r="A2293" s="471">
        <v>5111</v>
      </c>
      <c r="B2293" s="474" t="s">
        <v>1217</v>
      </c>
      <c r="C2293" s="473">
        <v>543</v>
      </c>
      <c r="D2293" s="478">
        <v>15</v>
      </c>
      <c r="E2293" s="474">
        <v>38944</v>
      </c>
      <c r="F2293" s="475" t="s">
        <v>446</v>
      </c>
      <c r="G2293" s="476">
        <v>22</v>
      </c>
      <c r="H2293" s="475" t="s">
        <v>1376</v>
      </c>
      <c r="I2293" s="487" t="s">
        <v>1377</v>
      </c>
      <c r="J2293" s="509">
        <v>278.3</v>
      </c>
    </row>
    <row r="2294" spans="1:10" ht="20.25" customHeight="1">
      <c r="A2294" s="471">
        <v>5111</v>
      </c>
      <c r="B2294" s="474" t="s">
        <v>1217</v>
      </c>
      <c r="C2294" s="473">
        <v>544</v>
      </c>
      <c r="D2294" s="478">
        <v>15</v>
      </c>
      <c r="E2294" s="474">
        <v>38944</v>
      </c>
      <c r="F2294" s="475" t="s">
        <v>446</v>
      </c>
      <c r="G2294" s="476">
        <v>22</v>
      </c>
      <c r="H2294" s="475" t="s">
        <v>1376</v>
      </c>
      <c r="I2294" s="487" t="s">
        <v>1377</v>
      </c>
      <c r="J2294" s="509">
        <v>278.3</v>
      </c>
    </row>
    <row r="2295" spans="1:10" ht="20.25" customHeight="1">
      <c r="A2295" s="471">
        <v>5111</v>
      </c>
      <c r="B2295" s="474" t="s">
        <v>1217</v>
      </c>
      <c r="C2295" s="473">
        <v>545</v>
      </c>
      <c r="D2295" s="478">
        <v>15</v>
      </c>
      <c r="E2295" s="474">
        <v>38944</v>
      </c>
      <c r="F2295" s="475" t="s">
        <v>446</v>
      </c>
      <c r="G2295" s="476">
        <v>22</v>
      </c>
      <c r="H2295" s="475" t="s">
        <v>1376</v>
      </c>
      <c r="I2295" s="487" t="s">
        <v>1377</v>
      </c>
      <c r="J2295" s="509">
        <v>278.3</v>
      </c>
    </row>
    <row r="2296" spans="1:10" ht="20.25" customHeight="1">
      <c r="A2296" s="471">
        <v>5111</v>
      </c>
      <c r="B2296" s="474" t="s">
        <v>1217</v>
      </c>
      <c r="C2296" s="473">
        <v>546</v>
      </c>
      <c r="D2296" s="478">
        <v>15</v>
      </c>
      <c r="E2296" s="474">
        <v>38944</v>
      </c>
      <c r="F2296" s="475" t="s">
        <v>446</v>
      </c>
      <c r="G2296" s="476">
        <v>22</v>
      </c>
      <c r="H2296" s="475" t="s">
        <v>1376</v>
      </c>
      <c r="I2296" s="487" t="s">
        <v>1377</v>
      </c>
      <c r="J2296" s="509">
        <v>278.3</v>
      </c>
    </row>
    <row r="2297" spans="1:10" ht="20.25" customHeight="1">
      <c r="A2297" s="471">
        <v>5111</v>
      </c>
      <c r="B2297" s="474" t="s">
        <v>1217</v>
      </c>
      <c r="C2297" s="473">
        <v>547</v>
      </c>
      <c r="D2297" s="478">
        <v>15</v>
      </c>
      <c r="E2297" s="474">
        <v>38944</v>
      </c>
      <c r="F2297" s="475" t="s">
        <v>446</v>
      </c>
      <c r="G2297" s="476">
        <v>22</v>
      </c>
      <c r="H2297" s="475" t="s">
        <v>1376</v>
      </c>
      <c r="I2297" s="487" t="s">
        <v>1377</v>
      </c>
      <c r="J2297" s="509">
        <v>278.3</v>
      </c>
    </row>
    <row r="2298" spans="1:10" ht="20.25" customHeight="1">
      <c r="A2298" s="471">
        <v>5111</v>
      </c>
      <c r="B2298" s="474" t="s">
        <v>1217</v>
      </c>
      <c r="C2298" s="473">
        <v>548</v>
      </c>
      <c r="D2298" s="478">
        <v>15</v>
      </c>
      <c r="E2298" s="474">
        <v>38944</v>
      </c>
      <c r="F2298" s="475" t="s">
        <v>446</v>
      </c>
      <c r="G2298" s="476">
        <v>22</v>
      </c>
      <c r="H2298" s="475" t="s">
        <v>1376</v>
      </c>
      <c r="I2298" s="487" t="s">
        <v>1377</v>
      </c>
      <c r="J2298" s="509">
        <v>278.3</v>
      </c>
    </row>
    <row r="2299" spans="1:10" ht="20.25" customHeight="1">
      <c r="A2299" s="471">
        <v>5111</v>
      </c>
      <c r="B2299" s="474" t="s">
        <v>1217</v>
      </c>
      <c r="C2299" s="473">
        <v>549</v>
      </c>
      <c r="D2299" s="478">
        <v>15</v>
      </c>
      <c r="E2299" s="474">
        <v>38944</v>
      </c>
      <c r="F2299" s="475" t="s">
        <v>446</v>
      </c>
      <c r="G2299" s="476">
        <v>22</v>
      </c>
      <c r="H2299" s="475" t="s">
        <v>1376</v>
      </c>
      <c r="I2299" s="487" t="s">
        <v>1377</v>
      </c>
      <c r="J2299" s="509">
        <v>278.3</v>
      </c>
    </row>
    <row r="2300" spans="1:10" ht="20.25" customHeight="1">
      <c r="A2300" s="471">
        <v>5111</v>
      </c>
      <c r="B2300" s="474" t="s">
        <v>1217</v>
      </c>
      <c r="C2300" s="473">
        <v>550</v>
      </c>
      <c r="D2300" s="478">
        <v>15</v>
      </c>
      <c r="E2300" s="474">
        <v>38944</v>
      </c>
      <c r="F2300" s="475" t="s">
        <v>446</v>
      </c>
      <c r="G2300" s="476">
        <v>22</v>
      </c>
      <c r="H2300" s="475" t="s">
        <v>1376</v>
      </c>
      <c r="I2300" s="487" t="s">
        <v>1377</v>
      </c>
      <c r="J2300" s="509">
        <v>278.3</v>
      </c>
    </row>
    <row r="2301" spans="1:10" ht="20.25" customHeight="1">
      <c r="A2301" s="471">
        <v>5111</v>
      </c>
      <c r="B2301" s="474" t="s">
        <v>1217</v>
      </c>
      <c r="C2301" s="473">
        <v>551</v>
      </c>
      <c r="D2301" s="478">
        <v>15</v>
      </c>
      <c r="E2301" s="474">
        <v>38944</v>
      </c>
      <c r="F2301" s="475" t="s">
        <v>446</v>
      </c>
      <c r="G2301" s="476">
        <v>22</v>
      </c>
      <c r="H2301" s="475" t="s">
        <v>1376</v>
      </c>
      <c r="I2301" s="487" t="s">
        <v>1377</v>
      </c>
      <c r="J2301" s="509">
        <v>278.3</v>
      </c>
    </row>
    <row r="2302" spans="1:10" ht="20.25" customHeight="1">
      <c r="A2302" s="471">
        <v>5111</v>
      </c>
      <c r="B2302" s="474" t="s">
        <v>1217</v>
      </c>
      <c r="C2302" s="473">
        <v>552</v>
      </c>
      <c r="D2302" s="478">
        <v>15</v>
      </c>
      <c r="E2302" s="474">
        <v>38944</v>
      </c>
      <c r="F2302" s="475" t="s">
        <v>446</v>
      </c>
      <c r="G2302" s="476">
        <v>22</v>
      </c>
      <c r="H2302" s="475" t="s">
        <v>1376</v>
      </c>
      <c r="I2302" s="487" t="s">
        <v>1377</v>
      </c>
      <c r="J2302" s="509">
        <v>278.3</v>
      </c>
    </row>
    <row r="2303" spans="1:10" ht="20.25" customHeight="1">
      <c r="A2303" s="471">
        <v>5111</v>
      </c>
      <c r="B2303" s="474" t="s">
        <v>1217</v>
      </c>
      <c r="C2303" s="473">
        <v>553</v>
      </c>
      <c r="D2303" s="478">
        <v>15</v>
      </c>
      <c r="E2303" s="474">
        <v>38944</v>
      </c>
      <c r="F2303" s="475" t="s">
        <v>446</v>
      </c>
      <c r="G2303" s="476">
        <v>22</v>
      </c>
      <c r="H2303" s="475" t="s">
        <v>1376</v>
      </c>
      <c r="I2303" s="487" t="s">
        <v>1377</v>
      </c>
      <c r="J2303" s="509">
        <v>278.3</v>
      </c>
    </row>
    <row r="2304" spans="1:10" ht="20.25" customHeight="1">
      <c r="A2304" s="471">
        <v>5111</v>
      </c>
      <c r="B2304" s="474" t="s">
        <v>1217</v>
      </c>
      <c r="C2304" s="473">
        <v>554</v>
      </c>
      <c r="D2304" s="478">
        <v>15</v>
      </c>
      <c r="E2304" s="474">
        <v>38944</v>
      </c>
      <c r="F2304" s="475" t="s">
        <v>446</v>
      </c>
      <c r="G2304" s="476">
        <v>22</v>
      </c>
      <c r="H2304" s="475" t="s">
        <v>1376</v>
      </c>
      <c r="I2304" s="487" t="s">
        <v>1377</v>
      </c>
      <c r="J2304" s="509">
        <v>278.3</v>
      </c>
    </row>
    <row r="2305" spans="1:10" ht="20.25" customHeight="1">
      <c r="A2305" s="471">
        <v>5111</v>
      </c>
      <c r="B2305" s="474" t="s">
        <v>1217</v>
      </c>
      <c r="C2305" s="473">
        <v>555</v>
      </c>
      <c r="D2305" s="478">
        <v>15</v>
      </c>
      <c r="E2305" s="474">
        <v>38944</v>
      </c>
      <c r="F2305" s="475" t="s">
        <v>446</v>
      </c>
      <c r="G2305" s="476">
        <v>22</v>
      </c>
      <c r="H2305" s="475" t="s">
        <v>1376</v>
      </c>
      <c r="I2305" s="487" t="s">
        <v>1377</v>
      </c>
      <c r="J2305" s="509">
        <v>278.3</v>
      </c>
    </row>
    <row r="2306" spans="1:10" ht="20.25" customHeight="1">
      <c r="A2306" s="471">
        <v>5111</v>
      </c>
      <c r="B2306" s="474" t="s">
        <v>1217</v>
      </c>
      <c r="C2306" s="473">
        <v>556</v>
      </c>
      <c r="D2306" s="478">
        <v>15</v>
      </c>
      <c r="E2306" s="474">
        <v>38944</v>
      </c>
      <c r="F2306" s="475" t="s">
        <v>446</v>
      </c>
      <c r="G2306" s="476">
        <v>22</v>
      </c>
      <c r="H2306" s="475" t="s">
        <v>1376</v>
      </c>
      <c r="I2306" s="487" t="s">
        <v>1377</v>
      </c>
      <c r="J2306" s="509">
        <v>278.3</v>
      </c>
    </row>
    <row r="2307" spans="1:10" ht="20.25" customHeight="1">
      <c r="A2307" s="471">
        <v>5111</v>
      </c>
      <c r="B2307" s="474" t="s">
        <v>1217</v>
      </c>
      <c r="C2307" s="473">
        <v>557</v>
      </c>
      <c r="D2307" s="478">
        <v>15</v>
      </c>
      <c r="E2307" s="474">
        <v>38944</v>
      </c>
      <c r="F2307" s="475" t="s">
        <v>446</v>
      </c>
      <c r="G2307" s="476">
        <v>22</v>
      </c>
      <c r="H2307" s="475" t="s">
        <v>1376</v>
      </c>
      <c r="I2307" s="487" t="s">
        <v>1377</v>
      </c>
      <c r="J2307" s="509">
        <v>278.3</v>
      </c>
    </row>
    <row r="2308" spans="1:10" ht="20.25" customHeight="1">
      <c r="A2308" s="471">
        <v>5111</v>
      </c>
      <c r="B2308" s="474" t="s">
        <v>1217</v>
      </c>
      <c r="C2308" s="473">
        <v>558</v>
      </c>
      <c r="D2308" s="478">
        <v>15</v>
      </c>
      <c r="E2308" s="474">
        <v>38944</v>
      </c>
      <c r="F2308" s="475" t="s">
        <v>446</v>
      </c>
      <c r="G2308" s="476">
        <v>22</v>
      </c>
      <c r="H2308" s="475" t="s">
        <v>1376</v>
      </c>
      <c r="I2308" s="487" t="s">
        <v>1377</v>
      </c>
      <c r="J2308" s="509">
        <v>278.3</v>
      </c>
    </row>
    <row r="2309" spans="1:10" ht="20.25" customHeight="1">
      <c r="A2309" s="471">
        <v>5111</v>
      </c>
      <c r="B2309" s="474" t="s">
        <v>1217</v>
      </c>
      <c r="C2309" s="473">
        <v>559</v>
      </c>
      <c r="D2309" s="478">
        <v>15</v>
      </c>
      <c r="E2309" s="474">
        <v>38944</v>
      </c>
      <c r="F2309" s="475" t="s">
        <v>446</v>
      </c>
      <c r="G2309" s="476">
        <v>22</v>
      </c>
      <c r="H2309" s="475" t="s">
        <v>1376</v>
      </c>
      <c r="I2309" s="487" t="s">
        <v>1377</v>
      </c>
      <c r="J2309" s="509">
        <v>278.3</v>
      </c>
    </row>
    <row r="2310" spans="1:10" ht="20.25" customHeight="1">
      <c r="A2310" s="471">
        <v>5111</v>
      </c>
      <c r="B2310" s="474" t="s">
        <v>1217</v>
      </c>
      <c r="C2310" s="473">
        <v>560</v>
      </c>
      <c r="D2310" s="478">
        <v>15</v>
      </c>
      <c r="E2310" s="474">
        <v>38944</v>
      </c>
      <c r="F2310" s="475" t="s">
        <v>446</v>
      </c>
      <c r="G2310" s="476">
        <v>22</v>
      </c>
      <c r="H2310" s="475" t="s">
        <v>1376</v>
      </c>
      <c r="I2310" s="487" t="s">
        <v>1377</v>
      </c>
      <c r="J2310" s="509">
        <v>278.3</v>
      </c>
    </row>
    <row r="2311" spans="1:10" ht="20.25" customHeight="1">
      <c r="A2311" s="471">
        <v>5111</v>
      </c>
      <c r="B2311" s="474" t="s">
        <v>1217</v>
      </c>
      <c r="C2311" s="473">
        <v>561</v>
      </c>
      <c r="D2311" s="478">
        <v>15</v>
      </c>
      <c r="E2311" s="474">
        <v>38944</v>
      </c>
      <c r="F2311" s="475" t="s">
        <v>446</v>
      </c>
      <c r="G2311" s="476">
        <v>22</v>
      </c>
      <c r="H2311" s="475" t="s">
        <v>1376</v>
      </c>
      <c r="I2311" s="487" t="s">
        <v>1377</v>
      </c>
      <c r="J2311" s="509">
        <v>278.3</v>
      </c>
    </row>
    <row r="2312" spans="1:10" ht="20.25" customHeight="1">
      <c r="A2312" s="471">
        <v>5111</v>
      </c>
      <c r="B2312" s="474" t="s">
        <v>1217</v>
      </c>
      <c r="C2312" s="473">
        <v>562</v>
      </c>
      <c r="D2312" s="478">
        <v>15</v>
      </c>
      <c r="E2312" s="474">
        <v>38944</v>
      </c>
      <c r="F2312" s="475" t="s">
        <v>446</v>
      </c>
      <c r="G2312" s="476">
        <v>22</v>
      </c>
      <c r="H2312" s="475" t="s">
        <v>1376</v>
      </c>
      <c r="I2312" s="487" t="s">
        <v>1377</v>
      </c>
      <c r="J2312" s="509">
        <v>278.3</v>
      </c>
    </row>
    <row r="2313" spans="1:10" ht="20.25" customHeight="1">
      <c r="A2313" s="471">
        <v>5111</v>
      </c>
      <c r="B2313" s="474" t="s">
        <v>1217</v>
      </c>
      <c r="C2313" s="473">
        <v>563</v>
      </c>
      <c r="D2313" s="478">
        <v>15</v>
      </c>
      <c r="E2313" s="474">
        <v>38944</v>
      </c>
      <c r="F2313" s="475" t="s">
        <v>446</v>
      </c>
      <c r="G2313" s="476">
        <v>22</v>
      </c>
      <c r="H2313" s="475" t="s">
        <v>1376</v>
      </c>
      <c r="I2313" s="487" t="s">
        <v>1377</v>
      </c>
      <c r="J2313" s="509">
        <v>278.3</v>
      </c>
    </row>
    <row r="2314" spans="1:10" ht="20.25" customHeight="1">
      <c r="A2314" s="471">
        <v>5111</v>
      </c>
      <c r="B2314" s="474" t="s">
        <v>1217</v>
      </c>
      <c r="C2314" s="473">
        <v>564</v>
      </c>
      <c r="D2314" s="478">
        <v>15</v>
      </c>
      <c r="E2314" s="474">
        <v>38944</v>
      </c>
      <c r="F2314" s="475" t="s">
        <v>446</v>
      </c>
      <c r="G2314" s="476">
        <v>22</v>
      </c>
      <c r="H2314" s="475" t="s">
        <v>1376</v>
      </c>
      <c r="I2314" s="487" t="s">
        <v>1377</v>
      </c>
      <c r="J2314" s="509">
        <v>278.3</v>
      </c>
    </row>
    <row r="2315" spans="1:10" ht="20.25" customHeight="1">
      <c r="A2315" s="471">
        <v>5111</v>
      </c>
      <c r="B2315" s="474" t="s">
        <v>1217</v>
      </c>
      <c r="C2315" s="473">
        <v>565</v>
      </c>
      <c r="D2315" s="478">
        <v>15</v>
      </c>
      <c r="E2315" s="474">
        <v>38944</v>
      </c>
      <c r="F2315" s="475" t="s">
        <v>446</v>
      </c>
      <c r="G2315" s="476">
        <v>22</v>
      </c>
      <c r="H2315" s="475" t="s">
        <v>1376</v>
      </c>
      <c r="I2315" s="487" t="s">
        <v>1377</v>
      </c>
      <c r="J2315" s="509">
        <v>278.3</v>
      </c>
    </row>
    <row r="2316" spans="1:10" ht="20.25" customHeight="1">
      <c r="A2316" s="471">
        <v>5111</v>
      </c>
      <c r="B2316" s="474" t="s">
        <v>1217</v>
      </c>
      <c r="C2316" s="473">
        <v>566</v>
      </c>
      <c r="D2316" s="478">
        <v>15</v>
      </c>
      <c r="E2316" s="474">
        <v>38944</v>
      </c>
      <c r="F2316" s="475" t="s">
        <v>446</v>
      </c>
      <c r="G2316" s="476">
        <v>22</v>
      </c>
      <c r="H2316" s="475" t="s">
        <v>1376</v>
      </c>
      <c r="I2316" s="487" t="s">
        <v>1377</v>
      </c>
      <c r="J2316" s="509">
        <v>278.3</v>
      </c>
    </row>
    <row r="2317" spans="1:10" ht="20.25" customHeight="1">
      <c r="A2317" s="471">
        <v>5111</v>
      </c>
      <c r="B2317" s="474" t="s">
        <v>1217</v>
      </c>
      <c r="C2317" s="473">
        <v>567</v>
      </c>
      <c r="D2317" s="478">
        <v>15</v>
      </c>
      <c r="E2317" s="474">
        <v>38944</v>
      </c>
      <c r="F2317" s="475" t="s">
        <v>446</v>
      </c>
      <c r="G2317" s="476">
        <v>22</v>
      </c>
      <c r="H2317" s="475" t="s">
        <v>1376</v>
      </c>
      <c r="I2317" s="487" t="s">
        <v>1377</v>
      </c>
      <c r="J2317" s="509">
        <v>278.3</v>
      </c>
    </row>
    <row r="2318" spans="1:10" ht="20.25" customHeight="1">
      <c r="A2318" s="471">
        <v>5111</v>
      </c>
      <c r="B2318" s="474" t="s">
        <v>1217</v>
      </c>
      <c r="C2318" s="473">
        <v>568</v>
      </c>
      <c r="D2318" s="478">
        <v>15</v>
      </c>
      <c r="E2318" s="474">
        <v>38944</v>
      </c>
      <c r="F2318" s="475" t="s">
        <v>446</v>
      </c>
      <c r="G2318" s="476">
        <v>22</v>
      </c>
      <c r="H2318" s="475" t="s">
        <v>1376</v>
      </c>
      <c r="I2318" s="487" t="s">
        <v>1377</v>
      </c>
      <c r="J2318" s="509">
        <v>278.3</v>
      </c>
    </row>
    <row r="2319" spans="1:10" ht="20.25" customHeight="1">
      <c r="A2319" s="471">
        <v>5111</v>
      </c>
      <c r="B2319" s="474" t="s">
        <v>1217</v>
      </c>
      <c r="C2319" s="473">
        <v>569</v>
      </c>
      <c r="D2319" s="478">
        <v>15</v>
      </c>
      <c r="E2319" s="474">
        <v>38944</v>
      </c>
      <c r="F2319" s="475" t="s">
        <v>446</v>
      </c>
      <c r="G2319" s="476">
        <v>22</v>
      </c>
      <c r="H2319" s="475" t="s">
        <v>1376</v>
      </c>
      <c r="I2319" s="487" t="s">
        <v>1377</v>
      </c>
      <c r="J2319" s="509">
        <v>278.3</v>
      </c>
    </row>
    <row r="2320" spans="1:10" ht="20.25" customHeight="1">
      <c r="A2320" s="471">
        <v>5111</v>
      </c>
      <c r="B2320" s="474" t="s">
        <v>1217</v>
      </c>
      <c r="C2320" s="473">
        <v>570</v>
      </c>
      <c r="D2320" s="478">
        <v>15</v>
      </c>
      <c r="E2320" s="474">
        <v>38944</v>
      </c>
      <c r="F2320" s="475" t="s">
        <v>446</v>
      </c>
      <c r="G2320" s="476">
        <v>22</v>
      </c>
      <c r="H2320" s="475" t="s">
        <v>1376</v>
      </c>
      <c r="I2320" s="487" t="s">
        <v>1377</v>
      </c>
      <c r="J2320" s="509">
        <v>278.3</v>
      </c>
    </row>
    <row r="2321" spans="1:10" ht="20.25" customHeight="1">
      <c r="A2321" s="471">
        <v>5111</v>
      </c>
      <c r="B2321" s="474" t="s">
        <v>1217</v>
      </c>
      <c r="C2321" s="473">
        <v>571</v>
      </c>
      <c r="D2321" s="478">
        <v>15</v>
      </c>
      <c r="E2321" s="474">
        <v>38944</v>
      </c>
      <c r="F2321" s="475" t="s">
        <v>446</v>
      </c>
      <c r="G2321" s="476">
        <v>22</v>
      </c>
      <c r="H2321" s="475" t="s">
        <v>1376</v>
      </c>
      <c r="I2321" s="487" t="s">
        <v>1377</v>
      </c>
      <c r="J2321" s="509">
        <v>278.3</v>
      </c>
    </row>
    <row r="2322" spans="1:10" ht="20.25" customHeight="1">
      <c r="A2322" s="471">
        <v>5111</v>
      </c>
      <c r="B2322" s="474" t="s">
        <v>1217</v>
      </c>
      <c r="C2322" s="473">
        <v>572</v>
      </c>
      <c r="D2322" s="478">
        <v>15</v>
      </c>
      <c r="E2322" s="474">
        <v>38944</v>
      </c>
      <c r="F2322" s="475" t="s">
        <v>446</v>
      </c>
      <c r="G2322" s="476">
        <v>22</v>
      </c>
      <c r="H2322" s="475" t="s">
        <v>1376</v>
      </c>
      <c r="I2322" s="487" t="s">
        <v>1377</v>
      </c>
      <c r="J2322" s="509">
        <v>278.3</v>
      </c>
    </row>
    <row r="2323" spans="1:10" ht="20.25" customHeight="1">
      <c r="A2323" s="471">
        <v>5111</v>
      </c>
      <c r="B2323" s="474" t="s">
        <v>1217</v>
      </c>
      <c r="C2323" s="473">
        <v>573</v>
      </c>
      <c r="D2323" s="478">
        <v>15</v>
      </c>
      <c r="E2323" s="474">
        <v>38944</v>
      </c>
      <c r="F2323" s="475" t="s">
        <v>446</v>
      </c>
      <c r="G2323" s="476">
        <v>22</v>
      </c>
      <c r="H2323" s="475" t="s">
        <v>1376</v>
      </c>
      <c r="I2323" s="487" t="s">
        <v>1377</v>
      </c>
      <c r="J2323" s="509">
        <v>278.3</v>
      </c>
    </row>
    <row r="2324" spans="1:10" ht="20.25" customHeight="1">
      <c r="A2324" s="471">
        <v>5111</v>
      </c>
      <c r="B2324" s="474" t="s">
        <v>1217</v>
      </c>
      <c r="C2324" s="473">
        <v>574</v>
      </c>
      <c r="D2324" s="478">
        <v>15</v>
      </c>
      <c r="E2324" s="474">
        <v>38944</v>
      </c>
      <c r="F2324" s="475" t="s">
        <v>446</v>
      </c>
      <c r="G2324" s="476">
        <v>22</v>
      </c>
      <c r="H2324" s="475" t="s">
        <v>1376</v>
      </c>
      <c r="I2324" s="487" t="s">
        <v>1377</v>
      </c>
      <c r="J2324" s="509">
        <v>278.3</v>
      </c>
    </row>
    <row r="2325" spans="1:10" ht="20.25" customHeight="1">
      <c r="A2325" s="471">
        <v>5111</v>
      </c>
      <c r="B2325" s="474" t="s">
        <v>1217</v>
      </c>
      <c r="C2325" s="473">
        <v>575</v>
      </c>
      <c r="D2325" s="478">
        <v>15</v>
      </c>
      <c r="E2325" s="474">
        <v>38944</v>
      </c>
      <c r="F2325" s="475" t="s">
        <v>446</v>
      </c>
      <c r="G2325" s="476">
        <v>22</v>
      </c>
      <c r="H2325" s="475" t="s">
        <v>1376</v>
      </c>
      <c r="I2325" s="487" t="s">
        <v>1377</v>
      </c>
      <c r="J2325" s="509">
        <v>278.3</v>
      </c>
    </row>
    <row r="2326" spans="1:10" ht="20.25" customHeight="1">
      <c r="A2326" s="471">
        <v>5111</v>
      </c>
      <c r="B2326" s="474" t="s">
        <v>1217</v>
      </c>
      <c r="C2326" s="473">
        <v>576</v>
      </c>
      <c r="D2326" s="478">
        <v>15</v>
      </c>
      <c r="E2326" s="474">
        <v>38944</v>
      </c>
      <c r="F2326" s="475" t="s">
        <v>446</v>
      </c>
      <c r="G2326" s="476">
        <v>22</v>
      </c>
      <c r="H2326" s="475" t="s">
        <v>1376</v>
      </c>
      <c r="I2326" s="487" t="s">
        <v>1377</v>
      </c>
      <c r="J2326" s="509">
        <v>278.3</v>
      </c>
    </row>
    <row r="2327" spans="1:10" ht="20.25" customHeight="1">
      <c r="A2327" s="471">
        <v>5111</v>
      </c>
      <c r="B2327" s="474" t="s">
        <v>1217</v>
      </c>
      <c r="C2327" s="473">
        <v>577</v>
      </c>
      <c r="D2327" s="478">
        <v>15</v>
      </c>
      <c r="E2327" s="474">
        <v>38944</v>
      </c>
      <c r="F2327" s="475" t="s">
        <v>446</v>
      </c>
      <c r="G2327" s="476">
        <v>22</v>
      </c>
      <c r="H2327" s="475" t="s">
        <v>1376</v>
      </c>
      <c r="I2327" s="487" t="s">
        <v>1377</v>
      </c>
      <c r="J2327" s="509">
        <v>278.3</v>
      </c>
    </row>
    <row r="2328" spans="1:10" ht="20.25" customHeight="1">
      <c r="A2328" s="471">
        <v>5111</v>
      </c>
      <c r="B2328" s="474" t="s">
        <v>1217</v>
      </c>
      <c r="C2328" s="473">
        <v>578</v>
      </c>
      <c r="D2328" s="478">
        <v>15</v>
      </c>
      <c r="E2328" s="474">
        <v>38944</v>
      </c>
      <c r="F2328" s="475" t="s">
        <v>446</v>
      </c>
      <c r="G2328" s="476">
        <v>22</v>
      </c>
      <c r="H2328" s="475" t="s">
        <v>1376</v>
      </c>
      <c r="I2328" s="487" t="s">
        <v>1377</v>
      </c>
      <c r="J2328" s="509">
        <v>278.3</v>
      </c>
    </row>
    <row r="2329" spans="1:10" ht="20.25" customHeight="1">
      <c r="A2329" s="471">
        <v>5111</v>
      </c>
      <c r="B2329" s="474" t="s">
        <v>1217</v>
      </c>
      <c r="C2329" s="473">
        <v>579</v>
      </c>
      <c r="D2329" s="478">
        <v>15</v>
      </c>
      <c r="E2329" s="474">
        <v>38944</v>
      </c>
      <c r="F2329" s="475" t="s">
        <v>446</v>
      </c>
      <c r="G2329" s="476">
        <v>22</v>
      </c>
      <c r="H2329" s="475" t="s">
        <v>1376</v>
      </c>
      <c r="I2329" s="487" t="s">
        <v>1377</v>
      </c>
      <c r="J2329" s="509">
        <v>278.3</v>
      </c>
    </row>
    <row r="2330" spans="1:10" ht="20.25" customHeight="1">
      <c r="A2330" s="471">
        <v>5111</v>
      </c>
      <c r="B2330" s="474" t="s">
        <v>1217</v>
      </c>
      <c r="C2330" s="473">
        <v>580</v>
      </c>
      <c r="D2330" s="478">
        <v>15</v>
      </c>
      <c r="E2330" s="474">
        <v>38944</v>
      </c>
      <c r="F2330" s="475" t="s">
        <v>446</v>
      </c>
      <c r="G2330" s="476">
        <v>21</v>
      </c>
      <c r="H2330" s="475" t="s">
        <v>1378</v>
      </c>
      <c r="I2330" s="487" t="s">
        <v>1379</v>
      </c>
      <c r="J2330" s="509">
        <v>342.7</v>
      </c>
    </row>
    <row r="2331" spans="1:10" ht="20.25" customHeight="1">
      <c r="A2331" s="471">
        <v>5111</v>
      </c>
      <c r="B2331" s="474" t="s">
        <v>1217</v>
      </c>
      <c r="C2331" s="473">
        <v>581</v>
      </c>
      <c r="D2331" s="478">
        <v>15</v>
      </c>
      <c r="E2331" s="474">
        <v>38944</v>
      </c>
      <c r="F2331" s="475" t="s">
        <v>446</v>
      </c>
      <c r="G2331" s="476">
        <v>21</v>
      </c>
      <c r="H2331" s="475" t="s">
        <v>1378</v>
      </c>
      <c r="I2331" s="487" t="s">
        <v>1379</v>
      </c>
      <c r="J2331" s="509">
        <v>342.7</v>
      </c>
    </row>
    <row r="2332" spans="1:10" ht="20.25" customHeight="1">
      <c r="A2332" s="471">
        <v>5111</v>
      </c>
      <c r="B2332" s="474" t="s">
        <v>1217</v>
      </c>
      <c r="C2332" s="473">
        <v>582</v>
      </c>
      <c r="D2332" s="478">
        <v>15</v>
      </c>
      <c r="E2332" s="474">
        <v>38944</v>
      </c>
      <c r="F2332" s="475" t="s">
        <v>446</v>
      </c>
      <c r="G2332" s="476">
        <v>21</v>
      </c>
      <c r="H2332" s="475" t="s">
        <v>1378</v>
      </c>
      <c r="I2332" s="487" t="s">
        <v>1379</v>
      </c>
      <c r="J2332" s="509">
        <v>342.7</v>
      </c>
    </row>
    <row r="2333" spans="1:10" ht="20.25" customHeight="1">
      <c r="A2333" s="471">
        <v>5111</v>
      </c>
      <c r="B2333" s="474" t="s">
        <v>1217</v>
      </c>
      <c r="C2333" s="473">
        <v>583</v>
      </c>
      <c r="D2333" s="478">
        <v>15</v>
      </c>
      <c r="E2333" s="474">
        <v>38944</v>
      </c>
      <c r="F2333" s="475" t="s">
        <v>446</v>
      </c>
      <c r="G2333" s="476">
        <v>21</v>
      </c>
      <c r="H2333" s="475" t="s">
        <v>1378</v>
      </c>
      <c r="I2333" s="487" t="s">
        <v>1379</v>
      </c>
      <c r="J2333" s="509">
        <v>342.7</v>
      </c>
    </row>
    <row r="2334" spans="1:10" ht="20.25" customHeight="1">
      <c r="A2334" s="471">
        <v>5111</v>
      </c>
      <c r="B2334" s="474" t="s">
        <v>1217</v>
      </c>
      <c r="C2334" s="473">
        <v>584</v>
      </c>
      <c r="D2334" s="478">
        <v>15</v>
      </c>
      <c r="E2334" s="474">
        <v>38944</v>
      </c>
      <c r="F2334" s="475" t="s">
        <v>446</v>
      </c>
      <c r="G2334" s="476">
        <v>21</v>
      </c>
      <c r="H2334" s="475" t="s">
        <v>1378</v>
      </c>
      <c r="I2334" s="487" t="s">
        <v>1379</v>
      </c>
      <c r="J2334" s="509">
        <v>342.7</v>
      </c>
    </row>
    <row r="2335" spans="1:10" ht="20.25" customHeight="1">
      <c r="A2335" s="471">
        <v>5111</v>
      </c>
      <c r="B2335" s="474" t="s">
        <v>1217</v>
      </c>
      <c r="C2335" s="473">
        <v>585</v>
      </c>
      <c r="D2335" s="478">
        <v>15</v>
      </c>
      <c r="E2335" s="474">
        <v>38944</v>
      </c>
      <c r="F2335" s="475" t="s">
        <v>446</v>
      </c>
      <c r="G2335" s="476">
        <v>21</v>
      </c>
      <c r="H2335" s="475" t="s">
        <v>1378</v>
      </c>
      <c r="I2335" s="487" t="s">
        <v>1379</v>
      </c>
      <c r="J2335" s="509">
        <v>342.7</v>
      </c>
    </row>
    <row r="2336" spans="1:10" ht="20.25" customHeight="1">
      <c r="A2336" s="471">
        <v>5111</v>
      </c>
      <c r="B2336" s="474" t="s">
        <v>1217</v>
      </c>
      <c r="C2336" s="473">
        <v>586</v>
      </c>
      <c r="D2336" s="478">
        <v>15</v>
      </c>
      <c r="E2336" s="474">
        <v>38944</v>
      </c>
      <c r="F2336" s="475" t="s">
        <v>446</v>
      </c>
      <c r="G2336" s="476">
        <v>21</v>
      </c>
      <c r="H2336" s="475" t="s">
        <v>1378</v>
      </c>
      <c r="I2336" s="487" t="s">
        <v>1379</v>
      </c>
      <c r="J2336" s="509">
        <v>342.7</v>
      </c>
    </row>
    <row r="2337" spans="1:10" ht="20.25" customHeight="1">
      <c r="A2337" s="471">
        <v>5111</v>
      </c>
      <c r="B2337" s="474" t="s">
        <v>1217</v>
      </c>
      <c r="C2337" s="473">
        <v>587</v>
      </c>
      <c r="D2337" s="478">
        <v>15</v>
      </c>
      <c r="E2337" s="474">
        <v>38944</v>
      </c>
      <c r="F2337" s="475" t="s">
        <v>446</v>
      </c>
      <c r="G2337" s="476">
        <v>21</v>
      </c>
      <c r="H2337" s="475" t="s">
        <v>1378</v>
      </c>
      <c r="I2337" s="487" t="s">
        <v>1379</v>
      </c>
      <c r="J2337" s="509">
        <v>342.7</v>
      </c>
    </row>
    <row r="2338" spans="1:10" ht="20.25" customHeight="1">
      <c r="A2338" s="471">
        <v>5111</v>
      </c>
      <c r="B2338" s="474" t="s">
        <v>1217</v>
      </c>
      <c r="C2338" s="473">
        <v>588</v>
      </c>
      <c r="D2338" s="478">
        <v>15</v>
      </c>
      <c r="E2338" s="474">
        <v>38944</v>
      </c>
      <c r="F2338" s="475" t="s">
        <v>446</v>
      </c>
      <c r="G2338" s="476">
        <v>21</v>
      </c>
      <c r="H2338" s="475" t="s">
        <v>1378</v>
      </c>
      <c r="I2338" s="487" t="s">
        <v>1379</v>
      </c>
      <c r="J2338" s="509">
        <v>342.7</v>
      </c>
    </row>
    <row r="2339" spans="1:10" ht="20.25" customHeight="1">
      <c r="A2339" s="471">
        <v>5111</v>
      </c>
      <c r="B2339" s="474" t="s">
        <v>1217</v>
      </c>
      <c r="C2339" s="473">
        <v>589</v>
      </c>
      <c r="D2339" s="478">
        <v>15</v>
      </c>
      <c r="E2339" s="474">
        <v>38944</v>
      </c>
      <c r="F2339" s="475" t="s">
        <v>446</v>
      </c>
      <c r="G2339" s="476">
        <v>21</v>
      </c>
      <c r="H2339" s="475" t="s">
        <v>1378</v>
      </c>
      <c r="I2339" s="487" t="s">
        <v>1379</v>
      </c>
      <c r="J2339" s="509">
        <v>342.7</v>
      </c>
    </row>
    <row r="2340" spans="1:10" ht="20.25" customHeight="1">
      <c r="A2340" s="471">
        <v>5111</v>
      </c>
      <c r="B2340" s="474" t="s">
        <v>1217</v>
      </c>
      <c r="C2340" s="473">
        <v>590</v>
      </c>
      <c r="D2340" s="478">
        <v>15</v>
      </c>
      <c r="E2340" s="474">
        <v>38944</v>
      </c>
      <c r="F2340" s="475" t="s">
        <v>446</v>
      </c>
      <c r="G2340" s="476">
        <v>21</v>
      </c>
      <c r="H2340" s="475" t="s">
        <v>1378</v>
      </c>
      <c r="I2340" s="487" t="s">
        <v>1379</v>
      </c>
      <c r="J2340" s="509">
        <v>342.7</v>
      </c>
    </row>
    <row r="2341" spans="1:10" ht="20.25" customHeight="1">
      <c r="A2341" s="471">
        <v>5111</v>
      </c>
      <c r="B2341" s="474" t="s">
        <v>1217</v>
      </c>
      <c r="C2341" s="473">
        <v>591</v>
      </c>
      <c r="D2341" s="478">
        <v>15</v>
      </c>
      <c r="E2341" s="474">
        <v>38944</v>
      </c>
      <c r="F2341" s="475" t="s">
        <v>446</v>
      </c>
      <c r="G2341" s="476">
        <v>21</v>
      </c>
      <c r="H2341" s="475" t="s">
        <v>1378</v>
      </c>
      <c r="I2341" s="487" t="s">
        <v>1379</v>
      </c>
      <c r="J2341" s="509">
        <v>342.7</v>
      </c>
    </row>
    <row r="2342" spans="1:10" ht="20.25" customHeight="1">
      <c r="A2342" s="471">
        <v>5111</v>
      </c>
      <c r="B2342" s="474" t="s">
        <v>1217</v>
      </c>
      <c r="C2342" s="473">
        <v>592</v>
      </c>
      <c r="D2342" s="478">
        <v>15</v>
      </c>
      <c r="E2342" s="474">
        <v>38944</v>
      </c>
      <c r="F2342" s="475" t="s">
        <v>446</v>
      </c>
      <c r="G2342" s="476">
        <v>21</v>
      </c>
      <c r="H2342" s="475" t="s">
        <v>1378</v>
      </c>
      <c r="I2342" s="487" t="s">
        <v>1379</v>
      </c>
      <c r="J2342" s="509">
        <v>342.7</v>
      </c>
    </row>
    <row r="2343" spans="1:10" ht="20.25" customHeight="1">
      <c r="A2343" s="471">
        <v>5111</v>
      </c>
      <c r="B2343" s="474" t="s">
        <v>1217</v>
      </c>
      <c r="C2343" s="473">
        <v>593</v>
      </c>
      <c r="D2343" s="478">
        <v>15</v>
      </c>
      <c r="E2343" s="474">
        <v>38944</v>
      </c>
      <c r="F2343" s="475" t="s">
        <v>446</v>
      </c>
      <c r="G2343" s="476">
        <v>21</v>
      </c>
      <c r="H2343" s="475" t="s">
        <v>1378</v>
      </c>
      <c r="I2343" s="487" t="s">
        <v>1379</v>
      </c>
      <c r="J2343" s="509">
        <v>342.7</v>
      </c>
    </row>
    <row r="2344" spans="1:10" ht="20.25" customHeight="1">
      <c r="A2344" s="471">
        <v>5111</v>
      </c>
      <c r="B2344" s="474" t="s">
        <v>1217</v>
      </c>
      <c r="C2344" s="473">
        <v>594</v>
      </c>
      <c r="D2344" s="478">
        <v>15</v>
      </c>
      <c r="E2344" s="474">
        <v>38944</v>
      </c>
      <c r="F2344" s="475" t="s">
        <v>446</v>
      </c>
      <c r="G2344" s="476">
        <v>21</v>
      </c>
      <c r="H2344" s="475" t="s">
        <v>1378</v>
      </c>
      <c r="I2344" s="487" t="s">
        <v>1379</v>
      </c>
      <c r="J2344" s="509">
        <v>342.7</v>
      </c>
    </row>
    <row r="2345" spans="1:10" ht="20.25" customHeight="1">
      <c r="A2345" s="471">
        <v>5111</v>
      </c>
      <c r="B2345" s="474" t="s">
        <v>1217</v>
      </c>
      <c r="C2345" s="473">
        <v>595</v>
      </c>
      <c r="D2345" s="478">
        <v>15</v>
      </c>
      <c r="E2345" s="474">
        <v>38944</v>
      </c>
      <c r="F2345" s="475" t="s">
        <v>446</v>
      </c>
      <c r="G2345" s="476">
        <v>21</v>
      </c>
      <c r="H2345" s="475" t="s">
        <v>1378</v>
      </c>
      <c r="I2345" s="487" t="s">
        <v>1379</v>
      </c>
      <c r="J2345" s="509">
        <v>342.7</v>
      </c>
    </row>
    <row r="2346" spans="1:10" ht="20.25" customHeight="1">
      <c r="A2346" s="471">
        <v>5111</v>
      </c>
      <c r="B2346" s="474" t="s">
        <v>1217</v>
      </c>
      <c r="C2346" s="473">
        <v>596</v>
      </c>
      <c r="D2346" s="478">
        <v>15</v>
      </c>
      <c r="E2346" s="474">
        <v>38944</v>
      </c>
      <c r="F2346" s="475" t="s">
        <v>446</v>
      </c>
      <c r="G2346" s="476">
        <v>21</v>
      </c>
      <c r="H2346" s="475" t="s">
        <v>1378</v>
      </c>
      <c r="I2346" s="487" t="s">
        <v>1379</v>
      </c>
      <c r="J2346" s="509">
        <v>342.7</v>
      </c>
    </row>
    <row r="2347" spans="1:10" ht="20.25" customHeight="1">
      <c r="A2347" s="471">
        <v>5111</v>
      </c>
      <c r="B2347" s="474" t="s">
        <v>1217</v>
      </c>
      <c r="C2347" s="473">
        <v>597</v>
      </c>
      <c r="D2347" s="478">
        <v>15</v>
      </c>
      <c r="E2347" s="474">
        <v>38944</v>
      </c>
      <c r="F2347" s="475" t="s">
        <v>446</v>
      </c>
      <c r="G2347" s="476">
        <v>21</v>
      </c>
      <c r="H2347" s="475" t="s">
        <v>1378</v>
      </c>
      <c r="I2347" s="487" t="s">
        <v>1379</v>
      </c>
      <c r="J2347" s="509">
        <v>342.7</v>
      </c>
    </row>
    <row r="2348" spans="1:10" ht="20.25" customHeight="1">
      <c r="A2348" s="471">
        <v>5111</v>
      </c>
      <c r="B2348" s="474" t="s">
        <v>1217</v>
      </c>
      <c r="C2348" s="473">
        <v>598</v>
      </c>
      <c r="D2348" s="478">
        <v>15</v>
      </c>
      <c r="E2348" s="474">
        <v>38944</v>
      </c>
      <c r="F2348" s="475" t="s">
        <v>446</v>
      </c>
      <c r="G2348" s="476">
        <v>21</v>
      </c>
      <c r="H2348" s="475" t="s">
        <v>1378</v>
      </c>
      <c r="I2348" s="487" t="s">
        <v>1379</v>
      </c>
      <c r="J2348" s="509">
        <v>342.7</v>
      </c>
    </row>
    <row r="2349" spans="1:10" ht="20.25" customHeight="1">
      <c r="A2349" s="471">
        <v>5111</v>
      </c>
      <c r="B2349" s="474" t="s">
        <v>1217</v>
      </c>
      <c r="C2349" s="473">
        <v>599</v>
      </c>
      <c r="D2349" s="478">
        <v>15</v>
      </c>
      <c r="E2349" s="474">
        <v>38944</v>
      </c>
      <c r="F2349" s="475" t="s">
        <v>446</v>
      </c>
      <c r="G2349" s="476">
        <v>21</v>
      </c>
      <c r="H2349" s="475" t="s">
        <v>1378</v>
      </c>
      <c r="I2349" s="487" t="s">
        <v>1379</v>
      </c>
      <c r="J2349" s="509">
        <v>342.7</v>
      </c>
    </row>
    <row r="2350" spans="1:10" ht="20.25" customHeight="1">
      <c r="A2350" s="471">
        <v>5111</v>
      </c>
      <c r="B2350" s="474" t="s">
        <v>1217</v>
      </c>
      <c r="C2350" s="473">
        <v>600</v>
      </c>
      <c r="D2350" s="478">
        <v>15</v>
      </c>
      <c r="E2350" s="474">
        <v>38944</v>
      </c>
      <c r="F2350" s="475" t="s">
        <v>446</v>
      </c>
      <c r="G2350" s="476">
        <v>21</v>
      </c>
      <c r="H2350" s="475" t="s">
        <v>1378</v>
      </c>
      <c r="I2350" s="487" t="s">
        <v>1379</v>
      </c>
      <c r="J2350" s="509">
        <v>342.7</v>
      </c>
    </row>
    <row r="2351" spans="1:10" ht="20.25" customHeight="1">
      <c r="A2351" s="471">
        <v>5111</v>
      </c>
      <c r="B2351" s="474" t="s">
        <v>1217</v>
      </c>
      <c r="C2351" s="473">
        <v>601</v>
      </c>
      <c r="D2351" s="478">
        <v>15</v>
      </c>
      <c r="E2351" s="474">
        <v>38944</v>
      </c>
      <c r="F2351" s="475" t="s">
        <v>446</v>
      </c>
      <c r="G2351" s="476">
        <v>21</v>
      </c>
      <c r="H2351" s="475" t="s">
        <v>1378</v>
      </c>
      <c r="I2351" s="487" t="s">
        <v>1379</v>
      </c>
      <c r="J2351" s="509">
        <v>342.7</v>
      </c>
    </row>
    <row r="2352" spans="1:10" ht="20.25" customHeight="1">
      <c r="A2352" s="471">
        <v>5111</v>
      </c>
      <c r="B2352" s="474" t="s">
        <v>1217</v>
      </c>
      <c r="C2352" s="473">
        <v>602</v>
      </c>
      <c r="D2352" s="478">
        <v>15</v>
      </c>
      <c r="E2352" s="474">
        <v>38944</v>
      </c>
      <c r="F2352" s="475" t="s">
        <v>446</v>
      </c>
      <c r="G2352" s="476">
        <v>21</v>
      </c>
      <c r="H2352" s="475" t="s">
        <v>1378</v>
      </c>
      <c r="I2352" s="487" t="s">
        <v>1379</v>
      </c>
      <c r="J2352" s="509">
        <v>342.7</v>
      </c>
    </row>
    <row r="2353" spans="1:10" ht="20.25" customHeight="1">
      <c r="A2353" s="471">
        <v>5111</v>
      </c>
      <c r="B2353" s="474" t="s">
        <v>1217</v>
      </c>
      <c r="C2353" s="473">
        <v>603</v>
      </c>
      <c r="D2353" s="478">
        <v>15</v>
      </c>
      <c r="E2353" s="474">
        <v>38944</v>
      </c>
      <c r="F2353" s="475" t="s">
        <v>446</v>
      </c>
      <c r="G2353" s="476">
        <v>21</v>
      </c>
      <c r="H2353" s="475" t="s">
        <v>1378</v>
      </c>
      <c r="I2353" s="487" t="s">
        <v>1379</v>
      </c>
      <c r="J2353" s="509">
        <v>342.7</v>
      </c>
    </row>
    <row r="2354" spans="1:10" ht="20.25" customHeight="1">
      <c r="A2354" s="471">
        <v>5111</v>
      </c>
      <c r="B2354" s="474" t="s">
        <v>1217</v>
      </c>
      <c r="C2354" s="473">
        <v>604</v>
      </c>
      <c r="D2354" s="478">
        <v>15</v>
      </c>
      <c r="E2354" s="474">
        <v>38944</v>
      </c>
      <c r="F2354" s="475" t="s">
        <v>446</v>
      </c>
      <c r="G2354" s="476">
        <v>21</v>
      </c>
      <c r="H2354" s="475" t="s">
        <v>1378</v>
      </c>
      <c r="I2354" s="487" t="s">
        <v>1379</v>
      </c>
      <c r="J2354" s="509">
        <v>342.7</v>
      </c>
    </row>
    <row r="2355" spans="1:10" ht="20.25" customHeight="1">
      <c r="A2355" s="471">
        <v>5111</v>
      </c>
      <c r="B2355" s="474" t="s">
        <v>1217</v>
      </c>
      <c r="C2355" s="473">
        <v>605</v>
      </c>
      <c r="D2355" s="478">
        <v>15</v>
      </c>
      <c r="E2355" s="474">
        <v>38944</v>
      </c>
      <c r="F2355" s="475" t="s">
        <v>446</v>
      </c>
      <c r="G2355" s="476">
        <v>21</v>
      </c>
      <c r="H2355" s="475" t="s">
        <v>1378</v>
      </c>
      <c r="I2355" s="487" t="s">
        <v>1379</v>
      </c>
      <c r="J2355" s="509">
        <v>342.7</v>
      </c>
    </row>
    <row r="2356" spans="1:10" ht="20.25" customHeight="1">
      <c r="A2356" s="471">
        <v>5111</v>
      </c>
      <c r="B2356" s="474" t="s">
        <v>1217</v>
      </c>
      <c r="C2356" s="473">
        <v>606</v>
      </c>
      <c r="D2356" s="478">
        <v>15</v>
      </c>
      <c r="E2356" s="474">
        <v>38944</v>
      </c>
      <c r="F2356" s="475" t="s">
        <v>446</v>
      </c>
      <c r="G2356" s="476">
        <v>21</v>
      </c>
      <c r="H2356" s="475" t="s">
        <v>1378</v>
      </c>
      <c r="I2356" s="487" t="s">
        <v>1379</v>
      </c>
      <c r="J2356" s="509">
        <v>342.7</v>
      </c>
    </row>
    <row r="2357" spans="1:10" ht="20.25" customHeight="1">
      <c r="A2357" s="471">
        <v>5111</v>
      </c>
      <c r="B2357" s="474" t="s">
        <v>1217</v>
      </c>
      <c r="C2357" s="473">
        <v>607</v>
      </c>
      <c r="D2357" s="478">
        <v>15</v>
      </c>
      <c r="E2357" s="474">
        <v>38944</v>
      </c>
      <c r="F2357" s="475" t="s">
        <v>446</v>
      </c>
      <c r="G2357" s="476">
        <v>21</v>
      </c>
      <c r="H2357" s="475" t="s">
        <v>1378</v>
      </c>
      <c r="I2357" s="487" t="s">
        <v>1379</v>
      </c>
      <c r="J2357" s="509">
        <v>342.7</v>
      </c>
    </row>
    <row r="2358" spans="1:10" ht="20.25" customHeight="1">
      <c r="A2358" s="471">
        <v>5111</v>
      </c>
      <c r="B2358" s="474" t="s">
        <v>1217</v>
      </c>
      <c r="C2358" s="473">
        <v>608</v>
      </c>
      <c r="D2358" s="478">
        <v>15</v>
      </c>
      <c r="E2358" s="474">
        <v>38944</v>
      </c>
      <c r="F2358" s="475" t="s">
        <v>446</v>
      </c>
      <c r="G2358" s="476">
        <v>21</v>
      </c>
      <c r="H2358" s="475" t="s">
        <v>1378</v>
      </c>
      <c r="I2358" s="487" t="s">
        <v>1379</v>
      </c>
      <c r="J2358" s="509">
        <v>342.7</v>
      </c>
    </row>
    <row r="2359" spans="1:10" ht="20.25" customHeight="1">
      <c r="A2359" s="471">
        <v>5111</v>
      </c>
      <c r="B2359" s="474" t="s">
        <v>1217</v>
      </c>
      <c r="C2359" s="473">
        <v>609</v>
      </c>
      <c r="D2359" s="478">
        <v>15</v>
      </c>
      <c r="E2359" s="474">
        <v>38944</v>
      </c>
      <c r="F2359" s="475" t="s">
        <v>446</v>
      </c>
      <c r="G2359" s="476">
        <v>21</v>
      </c>
      <c r="H2359" s="475" t="s">
        <v>1378</v>
      </c>
      <c r="I2359" s="487" t="s">
        <v>1379</v>
      </c>
      <c r="J2359" s="509">
        <v>342.7</v>
      </c>
    </row>
    <row r="2360" spans="1:10" ht="20.25" customHeight="1">
      <c r="A2360" s="471">
        <v>5111</v>
      </c>
      <c r="B2360" s="474" t="s">
        <v>1217</v>
      </c>
      <c r="C2360" s="473">
        <v>610</v>
      </c>
      <c r="D2360" s="478">
        <v>15</v>
      </c>
      <c r="E2360" s="474">
        <v>38944</v>
      </c>
      <c r="F2360" s="475" t="s">
        <v>446</v>
      </c>
      <c r="G2360" s="476">
        <v>21</v>
      </c>
      <c r="H2360" s="475" t="s">
        <v>1378</v>
      </c>
      <c r="I2360" s="487" t="s">
        <v>1379</v>
      </c>
      <c r="J2360" s="509">
        <v>342.7</v>
      </c>
    </row>
    <row r="2361" spans="1:10" ht="20.25" customHeight="1">
      <c r="A2361" s="471">
        <v>5111</v>
      </c>
      <c r="B2361" s="474" t="s">
        <v>1217</v>
      </c>
      <c r="C2361" s="473">
        <v>611</v>
      </c>
      <c r="D2361" s="478">
        <v>15</v>
      </c>
      <c r="E2361" s="474">
        <v>38944</v>
      </c>
      <c r="F2361" s="475" t="s">
        <v>446</v>
      </c>
      <c r="G2361" s="476">
        <v>21</v>
      </c>
      <c r="H2361" s="475" t="s">
        <v>1378</v>
      </c>
      <c r="I2361" s="487" t="s">
        <v>1379</v>
      </c>
      <c r="J2361" s="509">
        <v>342.7</v>
      </c>
    </row>
    <row r="2362" spans="1:10" ht="20.25" customHeight="1">
      <c r="A2362" s="471">
        <v>5111</v>
      </c>
      <c r="B2362" s="474" t="s">
        <v>1217</v>
      </c>
      <c r="C2362" s="473">
        <v>612</v>
      </c>
      <c r="D2362" s="478">
        <v>15</v>
      </c>
      <c r="E2362" s="474">
        <v>38944</v>
      </c>
      <c r="F2362" s="475" t="s">
        <v>446</v>
      </c>
      <c r="G2362" s="476">
        <v>21</v>
      </c>
      <c r="H2362" s="475" t="s">
        <v>1378</v>
      </c>
      <c r="I2362" s="487" t="s">
        <v>1379</v>
      </c>
      <c r="J2362" s="509">
        <v>342.7</v>
      </c>
    </row>
    <row r="2363" spans="1:10" ht="20.25" customHeight="1">
      <c r="A2363" s="471">
        <v>5111</v>
      </c>
      <c r="B2363" s="474" t="s">
        <v>1217</v>
      </c>
      <c r="C2363" s="473">
        <v>613</v>
      </c>
      <c r="D2363" s="478">
        <v>15</v>
      </c>
      <c r="E2363" s="474">
        <v>38944</v>
      </c>
      <c r="F2363" s="475" t="s">
        <v>446</v>
      </c>
      <c r="G2363" s="476">
        <v>21</v>
      </c>
      <c r="H2363" s="475" t="s">
        <v>1378</v>
      </c>
      <c r="I2363" s="487" t="s">
        <v>1379</v>
      </c>
      <c r="J2363" s="509">
        <v>342.7</v>
      </c>
    </row>
    <row r="2364" spans="1:10" ht="20.25" customHeight="1">
      <c r="A2364" s="471">
        <v>5111</v>
      </c>
      <c r="B2364" s="474" t="s">
        <v>1217</v>
      </c>
      <c r="C2364" s="473">
        <v>614</v>
      </c>
      <c r="D2364" s="478">
        <v>15</v>
      </c>
      <c r="E2364" s="474">
        <v>38944</v>
      </c>
      <c r="F2364" s="475" t="s">
        <v>446</v>
      </c>
      <c r="G2364" s="476">
        <v>21</v>
      </c>
      <c r="H2364" s="475" t="s">
        <v>1378</v>
      </c>
      <c r="I2364" s="487" t="s">
        <v>1379</v>
      </c>
      <c r="J2364" s="509">
        <v>342.7</v>
      </c>
    </row>
    <row r="2365" spans="1:10" ht="20.25" customHeight="1">
      <c r="A2365" s="471">
        <v>5111</v>
      </c>
      <c r="B2365" s="474" t="s">
        <v>1217</v>
      </c>
      <c r="C2365" s="473">
        <v>615</v>
      </c>
      <c r="D2365" s="478">
        <v>15</v>
      </c>
      <c r="E2365" s="474">
        <v>38944</v>
      </c>
      <c r="F2365" s="475" t="s">
        <v>446</v>
      </c>
      <c r="G2365" s="476">
        <v>21</v>
      </c>
      <c r="H2365" s="475" t="s">
        <v>1378</v>
      </c>
      <c r="I2365" s="487" t="s">
        <v>1379</v>
      </c>
      <c r="J2365" s="509">
        <v>342.7</v>
      </c>
    </row>
    <row r="2366" spans="1:10" ht="20.25" customHeight="1">
      <c r="A2366" s="471">
        <v>5111</v>
      </c>
      <c r="B2366" s="474" t="s">
        <v>1217</v>
      </c>
      <c r="C2366" s="473">
        <v>616</v>
      </c>
      <c r="D2366" s="478">
        <v>15</v>
      </c>
      <c r="E2366" s="474">
        <v>38944</v>
      </c>
      <c r="F2366" s="475" t="s">
        <v>446</v>
      </c>
      <c r="G2366" s="476">
        <v>21</v>
      </c>
      <c r="H2366" s="475" t="s">
        <v>1378</v>
      </c>
      <c r="I2366" s="487" t="s">
        <v>1379</v>
      </c>
      <c r="J2366" s="509">
        <v>342.7</v>
      </c>
    </row>
    <row r="2367" spans="1:10" ht="20.25" customHeight="1">
      <c r="A2367" s="471">
        <v>5111</v>
      </c>
      <c r="B2367" s="474" t="s">
        <v>1217</v>
      </c>
      <c r="C2367" s="473">
        <v>617</v>
      </c>
      <c r="D2367" s="478">
        <v>15</v>
      </c>
      <c r="E2367" s="474">
        <v>38944</v>
      </c>
      <c r="F2367" s="475" t="s">
        <v>446</v>
      </c>
      <c r="G2367" s="476">
        <v>21</v>
      </c>
      <c r="H2367" s="475" t="s">
        <v>1378</v>
      </c>
      <c r="I2367" s="487" t="s">
        <v>1379</v>
      </c>
      <c r="J2367" s="509">
        <v>342.7</v>
      </c>
    </row>
    <row r="2368" spans="1:10" ht="20.25" customHeight="1">
      <c r="A2368" s="471">
        <v>5111</v>
      </c>
      <c r="B2368" s="474" t="s">
        <v>1217</v>
      </c>
      <c r="C2368" s="473">
        <v>618</v>
      </c>
      <c r="D2368" s="478">
        <v>15</v>
      </c>
      <c r="E2368" s="474">
        <v>38944</v>
      </c>
      <c r="F2368" s="475" t="s">
        <v>446</v>
      </c>
      <c r="G2368" s="476">
        <v>21</v>
      </c>
      <c r="H2368" s="475" t="s">
        <v>1378</v>
      </c>
      <c r="I2368" s="487" t="s">
        <v>1379</v>
      </c>
      <c r="J2368" s="509">
        <v>342.7</v>
      </c>
    </row>
    <row r="2369" spans="1:10" ht="20.25" customHeight="1">
      <c r="A2369" s="471">
        <v>5111</v>
      </c>
      <c r="B2369" s="474" t="s">
        <v>1217</v>
      </c>
      <c r="C2369" s="473">
        <v>619</v>
      </c>
      <c r="D2369" s="478">
        <v>15</v>
      </c>
      <c r="E2369" s="474">
        <v>38944</v>
      </c>
      <c r="F2369" s="475" t="s">
        <v>446</v>
      </c>
      <c r="G2369" s="476">
        <v>21</v>
      </c>
      <c r="H2369" s="475" t="s">
        <v>1378</v>
      </c>
      <c r="I2369" s="487" t="s">
        <v>1379</v>
      </c>
      <c r="J2369" s="509">
        <v>342.7</v>
      </c>
    </row>
    <row r="2370" spans="1:10" ht="20.25" customHeight="1">
      <c r="A2370" s="471">
        <v>5111</v>
      </c>
      <c r="B2370" s="474" t="s">
        <v>1217</v>
      </c>
      <c r="C2370" s="473">
        <v>620</v>
      </c>
      <c r="D2370" s="478">
        <v>15</v>
      </c>
      <c r="E2370" s="474">
        <v>38944</v>
      </c>
      <c r="F2370" s="475" t="s">
        <v>446</v>
      </c>
      <c r="G2370" s="476">
        <v>21</v>
      </c>
      <c r="H2370" s="475" t="s">
        <v>1378</v>
      </c>
      <c r="I2370" s="487" t="s">
        <v>1379</v>
      </c>
      <c r="J2370" s="509">
        <v>342.7</v>
      </c>
    </row>
    <row r="2371" spans="1:10" ht="20.25" customHeight="1">
      <c r="A2371" s="471">
        <v>5111</v>
      </c>
      <c r="B2371" s="474" t="s">
        <v>1217</v>
      </c>
      <c r="C2371" s="473">
        <v>621</v>
      </c>
      <c r="D2371" s="478">
        <v>15</v>
      </c>
      <c r="E2371" s="474">
        <v>38944</v>
      </c>
      <c r="F2371" s="475" t="s">
        <v>446</v>
      </c>
      <c r="G2371" s="476">
        <v>21</v>
      </c>
      <c r="H2371" s="475" t="s">
        <v>1378</v>
      </c>
      <c r="I2371" s="487" t="s">
        <v>1379</v>
      </c>
      <c r="J2371" s="509">
        <v>342.7</v>
      </c>
    </row>
    <row r="2372" spans="1:10" ht="20.25" customHeight="1">
      <c r="A2372" s="471">
        <v>5111</v>
      </c>
      <c r="B2372" s="474" t="s">
        <v>1217</v>
      </c>
      <c r="C2372" s="473">
        <v>622</v>
      </c>
      <c r="D2372" s="478">
        <v>15</v>
      </c>
      <c r="E2372" s="474">
        <v>38944</v>
      </c>
      <c r="F2372" s="475" t="s">
        <v>446</v>
      </c>
      <c r="G2372" s="476">
        <v>21</v>
      </c>
      <c r="H2372" s="475" t="s">
        <v>1378</v>
      </c>
      <c r="I2372" s="487" t="s">
        <v>1379</v>
      </c>
      <c r="J2372" s="509">
        <v>342.7</v>
      </c>
    </row>
    <row r="2373" spans="1:10" ht="20.25" customHeight="1">
      <c r="A2373" s="471">
        <v>5111</v>
      </c>
      <c r="B2373" s="474" t="s">
        <v>1217</v>
      </c>
      <c r="C2373" s="473">
        <v>623</v>
      </c>
      <c r="D2373" s="478">
        <v>15</v>
      </c>
      <c r="E2373" s="474">
        <v>38944</v>
      </c>
      <c r="F2373" s="475" t="s">
        <v>446</v>
      </c>
      <c r="G2373" s="476">
        <v>21</v>
      </c>
      <c r="H2373" s="475" t="s">
        <v>1378</v>
      </c>
      <c r="I2373" s="487" t="s">
        <v>1379</v>
      </c>
      <c r="J2373" s="509">
        <v>342.7</v>
      </c>
    </row>
    <row r="2374" spans="1:10" ht="20.25" customHeight="1">
      <c r="A2374" s="471">
        <v>5111</v>
      </c>
      <c r="B2374" s="474" t="s">
        <v>1217</v>
      </c>
      <c r="C2374" s="473">
        <v>624</v>
      </c>
      <c r="D2374" s="478">
        <v>15</v>
      </c>
      <c r="E2374" s="474">
        <v>38944</v>
      </c>
      <c r="F2374" s="475" t="s">
        <v>446</v>
      </c>
      <c r="G2374" s="476">
        <v>21</v>
      </c>
      <c r="H2374" s="475" t="s">
        <v>1378</v>
      </c>
      <c r="I2374" s="487" t="s">
        <v>1379</v>
      </c>
      <c r="J2374" s="509">
        <v>342.7</v>
      </c>
    </row>
    <row r="2375" spans="1:10" ht="20.25" customHeight="1">
      <c r="A2375" s="471">
        <v>5111</v>
      </c>
      <c r="B2375" s="474" t="s">
        <v>1217</v>
      </c>
      <c r="C2375" s="473">
        <v>625</v>
      </c>
      <c r="D2375" s="478">
        <v>15</v>
      </c>
      <c r="E2375" s="474">
        <v>38944</v>
      </c>
      <c r="F2375" s="475" t="s">
        <v>446</v>
      </c>
      <c r="G2375" s="476">
        <v>21</v>
      </c>
      <c r="H2375" s="475" t="s">
        <v>1378</v>
      </c>
      <c r="I2375" s="487" t="s">
        <v>1379</v>
      </c>
      <c r="J2375" s="509">
        <v>342.7</v>
      </c>
    </row>
    <row r="2376" spans="1:10" ht="20.25" customHeight="1">
      <c r="A2376" s="471">
        <v>5111</v>
      </c>
      <c r="B2376" s="474" t="s">
        <v>1217</v>
      </c>
      <c r="C2376" s="473">
        <v>626</v>
      </c>
      <c r="D2376" s="478">
        <v>15</v>
      </c>
      <c r="E2376" s="474">
        <v>38944</v>
      </c>
      <c r="F2376" s="475" t="s">
        <v>446</v>
      </c>
      <c r="G2376" s="476">
        <v>21</v>
      </c>
      <c r="H2376" s="475" t="s">
        <v>1378</v>
      </c>
      <c r="I2376" s="487" t="s">
        <v>1379</v>
      </c>
      <c r="J2376" s="509">
        <v>342.7</v>
      </c>
    </row>
    <row r="2377" spans="1:10" ht="20.25" customHeight="1">
      <c r="A2377" s="471">
        <v>5111</v>
      </c>
      <c r="B2377" s="474" t="s">
        <v>1217</v>
      </c>
      <c r="C2377" s="473">
        <v>627</v>
      </c>
      <c r="D2377" s="478">
        <v>15</v>
      </c>
      <c r="E2377" s="474">
        <v>38944</v>
      </c>
      <c r="F2377" s="475" t="s">
        <v>446</v>
      </c>
      <c r="G2377" s="476">
        <v>21</v>
      </c>
      <c r="H2377" s="475" t="s">
        <v>1378</v>
      </c>
      <c r="I2377" s="487" t="s">
        <v>1379</v>
      </c>
      <c r="J2377" s="509">
        <v>342.7</v>
      </c>
    </row>
    <row r="2378" spans="1:10" ht="20.25" customHeight="1">
      <c r="A2378" s="471">
        <v>5111</v>
      </c>
      <c r="B2378" s="474" t="s">
        <v>1217</v>
      </c>
      <c r="C2378" s="473">
        <v>628</v>
      </c>
      <c r="D2378" s="478">
        <v>15</v>
      </c>
      <c r="E2378" s="474">
        <v>38944</v>
      </c>
      <c r="F2378" s="475" t="s">
        <v>446</v>
      </c>
      <c r="G2378" s="476">
        <v>21</v>
      </c>
      <c r="H2378" s="475" t="s">
        <v>1378</v>
      </c>
      <c r="I2378" s="487" t="s">
        <v>1379</v>
      </c>
      <c r="J2378" s="509">
        <v>342.7</v>
      </c>
    </row>
    <row r="2379" spans="1:10" ht="20.25" customHeight="1">
      <c r="A2379" s="471">
        <v>5111</v>
      </c>
      <c r="B2379" s="474" t="s">
        <v>1217</v>
      </c>
      <c r="C2379" s="473">
        <v>629</v>
      </c>
      <c r="D2379" s="478">
        <v>15</v>
      </c>
      <c r="E2379" s="474">
        <v>38944</v>
      </c>
      <c r="F2379" s="475" t="s">
        <v>446</v>
      </c>
      <c r="G2379" s="476">
        <v>21</v>
      </c>
      <c r="H2379" s="475" t="s">
        <v>1378</v>
      </c>
      <c r="I2379" s="487" t="s">
        <v>1379</v>
      </c>
      <c r="J2379" s="509">
        <v>342.7</v>
      </c>
    </row>
    <row r="2380" spans="1:10" ht="20.25" customHeight="1">
      <c r="A2380" s="471">
        <v>5111</v>
      </c>
      <c r="B2380" s="474" t="s">
        <v>1217</v>
      </c>
      <c r="C2380" s="473">
        <v>630</v>
      </c>
      <c r="D2380" s="478">
        <v>15</v>
      </c>
      <c r="E2380" s="474">
        <v>38944</v>
      </c>
      <c r="F2380" s="475" t="s">
        <v>446</v>
      </c>
      <c r="G2380" s="476">
        <v>21</v>
      </c>
      <c r="H2380" s="475" t="s">
        <v>1378</v>
      </c>
      <c r="I2380" s="487" t="s">
        <v>1379</v>
      </c>
      <c r="J2380" s="509">
        <v>342.7</v>
      </c>
    </row>
    <row r="2381" spans="1:10" ht="20.25" customHeight="1">
      <c r="A2381" s="471">
        <v>5111</v>
      </c>
      <c r="B2381" s="474" t="s">
        <v>1217</v>
      </c>
      <c r="C2381" s="473">
        <v>631</v>
      </c>
      <c r="D2381" s="478">
        <v>15</v>
      </c>
      <c r="E2381" s="474">
        <v>38944</v>
      </c>
      <c r="F2381" s="475" t="s">
        <v>446</v>
      </c>
      <c r="G2381" s="476">
        <v>21</v>
      </c>
      <c r="H2381" s="475" t="s">
        <v>1378</v>
      </c>
      <c r="I2381" s="487" t="s">
        <v>1379</v>
      </c>
      <c r="J2381" s="509">
        <v>342.7</v>
      </c>
    </row>
    <row r="2382" spans="1:10" ht="20.25" customHeight="1">
      <c r="A2382" s="471">
        <v>5111</v>
      </c>
      <c r="B2382" s="474" t="s">
        <v>1217</v>
      </c>
      <c r="C2382" s="473">
        <v>632</v>
      </c>
      <c r="D2382" s="478">
        <v>15</v>
      </c>
      <c r="E2382" s="474">
        <v>38944</v>
      </c>
      <c r="F2382" s="475" t="s">
        <v>446</v>
      </c>
      <c r="G2382" s="476">
        <v>21</v>
      </c>
      <c r="H2382" s="475" t="s">
        <v>1378</v>
      </c>
      <c r="I2382" s="487" t="s">
        <v>1379</v>
      </c>
      <c r="J2382" s="509">
        <v>342.7</v>
      </c>
    </row>
    <row r="2383" spans="1:10" ht="20.25" customHeight="1">
      <c r="A2383" s="471">
        <v>5111</v>
      </c>
      <c r="B2383" s="474" t="s">
        <v>1217</v>
      </c>
      <c r="C2383" s="473">
        <v>633</v>
      </c>
      <c r="D2383" s="478">
        <v>15</v>
      </c>
      <c r="E2383" s="474">
        <v>38944</v>
      </c>
      <c r="F2383" s="475" t="s">
        <v>446</v>
      </c>
      <c r="G2383" s="476">
        <v>21</v>
      </c>
      <c r="H2383" s="475" t="s">
        <v>1378</v>
      </c>
      <c r="I2383" s="487" t="s">
        <v>1379</v>
      </c>
      <c r="J2383" s="509">
        <v>342.7</v>
      </c>
    </row>
    <row r="2384" spans="1:10" ht="20.25" customHeight="1">
      <c r="A2384" s="471">
        <v>5111</v>
      </c>
      <c r="B2384" s="474" t="s">
        <v>1217</v>
      </c>
      <c r="C2384" s="473">
        <v>634</v>
      </c>
      <c r="D2384" s="478">
        <v>15</v>
      </c>
      <c r="E2384" s="474">
        <v>38944</v>
      </c>
      <c r="F2384" s="475" t="s">
        <v>446</v>
      </c>
      <c r="G2384" s="476">
        <v>21</v>
      </c>
      <c r="H2384" s="475" t="s">
        <v>1378</v>
      </c>
      <c r="I2384" s="487" t="s">
        <v>1379</v>
      </c>
      <c r="J2384" s="509">
        <v>342.7</v>
      </c>
    </row>
    <row r="2385" spans="1:10" ht="20.25" customHeight="1">
      <c r="A2385" s="471">
        <v>5111</v>
      </c>
      <c r="B2385" s="474" t="s">
        <v>1217</v>
      </c>
      <c r="C2385" s="473">
        <v>635</v>
      </c>
      <c r="D2385" s="478">
        <v>15</v>
      </c>
      <c r="E2385" s="474">
        <v>38944</v>
      </c>
      <c r="F2385" s="475" t="s">
        <v>446</v>
      </c>
      <c r="G2385" s="476">
        <v>21</v>
      </c>
      <c r="H2385" s="475" t="s">
        <v>1378</v>
      </c>
      <c r="I2385" s="487" t="s">
        <v>1379</v>
      </c>
      <c r="J2385" s="509">
        <v>342.7</v>
      </c>
    </row>
    <row r="2386" spans="1:10" ht="20.25" customHeight="1">
      <c r="A2386" s="471">
        <v>5111</v>
      </c>
      <c r="B2386" s="474" t="s">
        <v>1217</v>
      </c>
      <c r="C2386" s="473">
        <v>636</v>
      </c>
      <c r="D2386" s="478">
        <v>15</v>
      </c>
      <c r="E2386" s="474">
        <v>38944</v>
      </c>
      <c r="F2386" s="475" t="s">
        <v>446</v>
      </c>
      <c r="G2386" s="476">
        <v>21</v>
      </c>
      <c r="H2386" s="475" t="s">
        <v>1378</v>
      </c>
      <c r="I2386" s="487" t="s">
        <v>1379</v>
      </c>
      <c r="J2386" s="509">
        <v>342.7</v>
      </c>
    </row>
    <row r="2387" spans="1:10" ht="20.25" customHeight="1">
      <c r="A2387" s="471">
        <v>5111</v>
      </c>
      <c r="B2387" s="474" t="s">
        <v>1217</v>
      </c>
      <c r="C2387" s="473">
        <v>637</v>
      </c>
      <c r="D2387" s="478">
        <v>15</v>
      </c>
      <c r="E2387" s="474">
        <v>38944</v>
      </c>
      <c r="F2387" s="475" t="s">
        <v>446</v>
      </c>
      <c r="G2387" s="476">
        <v>21</v>
      </c>
      <c r="H2387" s="475" t="s">
        <v>1378</v>
      </c>
      <c r="I2387" s="487" t="s">
        <v>1379</v>
      </c>
      <c r="J2387" s="509">
        <v>342.7</v>
      </c>
    </row>
    <row r="2388" spans="1:10" ht="20.25" customHeight="1">
      <c r="A2388" s="471">
        <v>5111</v>
      </c>
      <c r="B2388" s="474" t="s">
        <v>1217</v>
      </c>
      <c r="C2388" s="473">
        <v>638</v>
      </c>
      <c r="D2388" s="478">
        <v>15</v>
      </c>
      <c r="E2388" s="474">
        <v>38944</v>
      </c>
      <c r="F2388" s="475" t="s">
        <v>446</v>
      </c>
      <c r="G2388" s="476">
        <v>21</v>
      </c>
      <c r="H2388" s="475" t="s">
        <v>1378</v>
      </c>
      <c r="I2388" s="487" t="s">
        <v>1379</v>
      </c>
      <c r="J2388" s="509">
        <v>342.7</v>
      </c>
    </row>
    <row r="2389" spans="1:10" ht="20.25" customHeight="1">
      <c r="A2389" s="471">
        <v>5111</v>
      </c>
      <c r="B2389" s="474" t="s">
        <v>1217</v>
      </c>
      <c r="C2389" s="473">
        <v>639</v>
      </c>
      <c r="D2389" s="478">
        <v>15</v>
      </c>
      <c r="E2389" s="474">
        <v>38944</v>
      </c>
      <c r="F2389" s="475" t="s">
        <v>446</v>
      </c>
      <c r="G2389" s="476">
        <v>21</v>
      </c>
      <c r="H2389" s="475" t="s">
        <v>1378</v>
      </c>
      <c r="I2389" s="487" t="s">
        <v>1379</v>
      </c>
      <c r="J2389" s="509">
        <v>342.7</v>
      </c>
    </row>
    <row r="2390" spans="1:10" ht="20.25" customHeight="1">
      <c r="A2390" s="471">
        <v>5111</v>
      </c>
      <c r="B2390" s="474" t="s">
        <v>1217</v>
      </c>
      <c r="C2390" s="473">
        <v>640</v>
      </c>
      <c r="D2390" s="478">
        <v>15</v>
      </c>
      <c r="E2390" s="474">
        <v>38944</v>
      </c>
      <c r="F2390" s="475" t="s">
        <v>446</v>
      </c>
      <c r="G2390" s="476">
        <v>21</v>
      </c>
      <c r="H2390" s="475" t="s">
        <v>1378</v>
      </c>
      <c r="I2390" s="487" t="s">
        <v>1379</v>
      </c>
      <c r="J2390" s="509">
        <v>342.7</v>
      </c>
    </row>
    <row r="2391" spans="1:10" ht="20.25" customHeight="1">
      <c r="A2391" s="471">
        <v>5111</v>
      </c>
      <c r="B2391" s="474" t="s">
        <v>1217</v>
      </c>
      <c r="C2391" s="473">
        <v>641</v>
      </c>
      <c r="D2391" s="478">
        <v>15</v>
      </c>
      <c r="E2391" s="474">
        <v>38944</v>
      </c>
      <c r="F2391" s="475" t="s">
        <v>446</v>
      </c>
      <c r="G2391" s="476">
        <v>21</v>
      </c>
      <c r="H2391" s="475" t="s">
        <v>1378</v>
      </c>
      <c r="I2391" s="487" t="s">
        <v>1379</v>
      </c>
      <c r="J2391" s="509">
        <v>342.7</v>
      </c>
    </row>
    <row r="2392" spans="1:10" ht="20.25" customHeight="1">
      <c r="A2392" s="471">
        <v>5111</v>
      </c>
      <c r="B2392" s="474" t="s">
        <v>1217</v>
      </c>
      <c r="C2392" s="473">
        <v>642</v>
      </c>
      <c r="D2392" s="478">
        <v>15</v>
      </c>
      <c r="E2392" s="474">
        <v>38944</v>
      </c>
      <c r="F2392" s="475" t="s">
        <v>446</v>
      </c>
      <c r="G2392" s="476">
        <v>21</v>
      </c>
      <c r="H2392" s="475" t="s">
        <v>1378</v>
      </c>
      <c r="I2392" s="487" t="s">
        <v>1379</v>
      </c>
      <c r="J2392" s="509">
        <v>342.7</v>
      </c>
    </row>
    <row r="2393" spans="1:10" ht="20.25" customHeight="1">
      <c r="A2393" s="471">
        <v>5111</v>
      </c>
      <c r="B2393" s="474" t="s">
        <v>1217</v>
      </c>
      <c r="C2393" s="473">
        <v>643</v>
      </c>
      <c r="D2393" s="478">
        <v>15</v>
      </c>
      <c r="E2393" s="474">
        <v>38944</v>
      </c>
      <c r="F2393" s="475" t="s">
        <v>446</v>
      </c>
      <c r="G2393" s="476">
        <v>21</v>
      </c>
      <c r="H2393" s="475" t="s">
        <v>1378</v>
      </c>
      <c r="I2393" s="487" t="s">
        <v>1379</v>
      </c>
      <c r="J2393" s="509">
        <v>342.7</v>
      </c>
    </row>
    <row r="2394" spans="1:10" ht="20.25" customHeight="1">
      <c r="A2394" s="471">
        <v>5111</v>
      </c>
      <c r="B2394" s="474" t="s">
        <v>1217</v>
      </c>
      <c r="C2394" s="473">
        <v>644</v>
      </c>
      <c r="D2394" s="478">
        <v>15</v>
      </c>
      <c r="E2394" s="474">
        <v>38944</v>
      </c>
      <c r="F2394" s="475" t="s">
        <v>446</v>
      </c>
      <c r="G2394" s="476">
        <v>21</v>
      </c>
      <c r="H2394" s="475" t="s">
        <v>1378</v>
      </c>
      <c r="I2394" s="487" t="s">
        <v>1379</v>
      </c>
      <c r="J2394" s="509">
        <v>342.7</v>
      </c>
    </row>
    <row r="2395" spans="1:10" ht="20.25" customHeight="1">
      <c r="A2395" s="471">
        <v>5111</v>
      </c>
      <c r="B2395" s="474" t="s">
        <v>1217</v>
      </c>
      <c r="C2395" s="473">
        <v>645</v>
      </c>
      <c r="D2395" s="478">
        <v>15</v>
      </c>
      <c r="E2395" s="474">
        <v>38944</v>
      </c>
      <c r="F2395" s="475" t="s">
        <v>446</v>
      </c>
      <c r="G2395" s="476">
        <v>21</v>
      </c>
      <c r="H2395" s="475" t="s">
        <v>1378</v>
      </c>
      <c r="I2395" s="487" t="s">
        <v>1379</v>
      </c>
      <c r="J2395" s="509">
        <v>342.7</v>
      </c>
    </row>
    <row r="2396" spans="1:10" ht="20.25" customHeight="1">
      <c r="A2396" s="471">
        <v>5111</v>
      </c>
      <c r="B2396" s="474" t="s">
        <v>1217</v>
      </c>
      <c r="C2396" s="473">
        <v>646</v>
      </c>
      <c r="D2396" s="478">
        <v>15</v>
      </c>
      <c r="E2396" s="474">
        <v>38944</v>
      </c>
      <c r="F2396" s="475" t="s">
        <v>446</v>
      </c>
      <c r="G2396" s="476">
        <v>21</v>
      </c>
      <c r="H2396" s="475" t="s">
        <v>1378</v>
      </c>
      <c r="I2396" s="487" t="s">
        <v>1379</v>
      </c>
      <c r="J2396" s="509">
        <v>342.7</v>
      </c>
    </row>
    <row r="2397" spans="1:10" ht="20.25" customHeight="1">
      <c r="A2397" s="471">
        <v>5111</v>
      </c>
      <c r="B2397" s="474" t="s">
        <v>1217</v>
      </c>
      <c r="C2397" s="473">
        <v>647</v>
      </c>
      <c r="D2397" s="478">
        <v>15</v>
      </c>
      <c r="E2397" s="474">
        <v>38944</v>
      </c>
      <c r="F2397" s="475" t="s">
        <v>446</v>
      </c>
      <c r="G2397" s="476">
        <v>21</v>
      </c>
      <c r="H2397" s="475" t="s">
        <v>1378</v>
      </c>
      <c r="I2397" s="487" t="s">
        <v>1379</v>
      </c>
      <c r="J2397" s="509">
        <v>342.7</v>
      </c>
    </row>
    <row r="2398" spans="1:10" ht="20.25" customHeight="1">
      <c r="A2398" s="471">
        <v>5111</v>
      </c>
      <c r="B2398" s="474" t="s">
        <v>1217</v>
      </c>
      <c r="C2398" s="473">
        <v>648</v>
      </c>
      <c r="D2398" s="478">
        <v>15</v>
      </c>
      <c r="E2398" s="474">
        <v>38944</v>
      </c>
      <c r="F2398" s="475" t="s">
        <v>446</v>
      </c>
      <c r="G2398" s="476">
        <v>21</v>
      </c>
      <c r="H2398" s="475" t="s">
        <v>1378</v>
      </c>
      <c r="I2398" s="487" t="s">
        <v>1379</v>
      </c>
      <c r="J2398" s="509">
        <v>342.7</v>
      </c>
    </row>
    <row r="2399" spans="1:10" ht="20.25" customHeight="1">
      <c r="A2399" s="471">
        <v>5111</v>
      </c>
      <c r="B2399" s="474" t="s">
        <v>1217</v>
      </c>
      <c r="C2399" s="473">
        <v>649</v>
      </c>
      <c r="D2399" s="478">
        <v>15</v>
      </c>
      <c r="E2399" s="474">
        <v>38944</v>
      </c>
      <c r="F2399" s="475" t="s">
        <v>446</v>
      </c>
      <c r="G2399" s="476">
        <v>21</v>
      </c>
      <c r="H2399" s="475" t="s">
        <v>1378</v>
      </c>
      <c r="I2399" s="487" t="s">
        <v>1379</v>
      </c>
      <c r="J2399" s="509">
        <v>342.7</v>
      </c>
    </row>
    <row r="2400" spans="1:10" ht="20.25" customHeight="1">
      <c r="A2400" s="471">
        <v>5111</v>
      </c>
      <c r="B2400" s="474" t="s">
        <v>1217</v>
      </c>
      <c r="C2400" s="473">
        <v>650</v>
      </c>
      <c r="D2400" s="478">
        <v>15</v>
      </c>
      <c r="E2400" s="474">
        <v>38944</v>
      </c>
      <c r="F2400" s="475" t="s">
        <v>446</v>
      </c>
      <c r="G2400" s="476">
        <v>21</v>
      </c>
      <c r="H2400" s="475" t="s">
        <v>1378</v>
      </c>
      <c r="I2400" s="487" t="s">
        <v>1379</v>
      </c>
      <c r="J2400" s="509">
        <v>342.7</v>
      </c>
    </row>
    <row r="2401" spans="1:10" ht="20.25" customHeight="1">
      <c r="A2401" s="471">
        <v>5111</v>
      </c>
      <c r="B2401" s="474" t="s">
        <v>1217</v>
      </c>
      <c r="C2401" s="473">
        <v>651</v>
      </c>
      <c r="D2401" s="478">
        <v>15</v>
      </c>
      <c r="E2401" s="474">
        <v>38944</v>
      </c>
      <c r="F2401" s="475" t="s">
        <v>446</v>
      </c>
      <c r="G2401" s="476">
        <v>21</v>
      </c>
      <c r="H2401" s="475" t="s">
        <v>1378</v>
      </c>
      <c r="I2401" s="487" t="s">
        <v>1379</v>
      </c>
      <c r="J2401" s="509">
        <v>342.7</v>
      </c>
    </row>
    <row r="2402" spans="1:10" ht="20.25" customHeight="1">
      <c r="A2402" s="471">
        <v>5111</v>
      </c>
      <c r="B2402" s="474" t="s">
        <v>1217</v>
      </c>
      <c r="C2402" s="473">
        <v>652</v>
      </c>
      <c r="D2402" s="478">
        <v>15</v>
      </c>
      <c r="E2402" s="474">
        <v>38944</v>
      </c>
      <c r="F2402" s="475" t="s">
        <v>446</v>
      </c>
      <c r="G2402" s="476">
        <v>21</v>
      </c>
      <c r="H2402" s="475" t="s">
        <v>1378</v>
      </c>
      <c r="I2402" s="487" t="s">
        <v>1379</v>
      </c>
      <c r="J2402" s="509">
        <v>342.7</v>
      </c>
    </row>
    <row r="2403" spans="1:10" ht="20.25" customHeight="1">
      <c r="A2403" s="471">
        <v>5111</v>
      </c>
      <c r="B2403" s="474" t="s">
        <v>1217</v>
      </c>
      <c r="C2403" s="473">
        <v>653</v>
      </c>
      <c r="D2403" s="478">
        <v>15</v>
      </c>
      <c r="E2403" s="474">
        <v>38944</v>
      </c>
      <c r="F2403" s="475" t="s">
        <v>446</v>
      </c>
      <c r="G2403" s="476">
        <v>21</v>
      </c>
      <c r="H2403" s="475" t="s">
        <v>1378</v>
      </c>
      <c r="I2403" s="487" t="s">
        <v>1379</v>
      </c>
      <c r="J2403" s="509">
        <v>342.7</v>
      </c>
    </row>
    <row r="2404" spans="1:10" ht="20.25" customHeight="1">
      <c r="A2404" s="471">
        <v>5111</v>
      </c>
      <c r="B2404" s="474" t="s">
        <v>1217</v>
      </c>
      <c r="C2404" s="473">
        <v>654</v>
      </c>
      <c r="D2404" s="478">
        <v>15</v>
      </c>
      <c r="E2404" s="474">
        <v>38944</v>
      </c>
      <c r="F2404" s="475" t="s">
        <v>446</v>
      </c>
      <c r="G2404" s="476">
        <v>21</v>
      </c>
      <c r="H2404" s="475" t="s">
        <v>1378</v>
      </c>
      <c r="I2404" s="487" t="s">
        <v>1379</v>
      </c>
      <c r="J2404" s="509">
        <v>342.7</v>
      </c>
    </row>
    <row r="2405" spans="1:10" ht="20.25" customHeight="1">
      <c r="A2405" s="471">
        <v>5111</v>
      </c>
      <c r="B2405" s="474" t="s">
        <v>1217</v>
      </c>
      <c r="C2405" s="473">
        <v>655</v>
      </c>
      <c r="D2405" s="478">
        <v>15</v>
      </c>
      <c r="E2405" s="474">
        <v>38944</v>
      </c>
      <c r="F2405" s="475" t="s">
        <v>446</v>
      </c>
      <c r="G2405" s="476">
        <v>21</v>
      </c>
      <c r="H2405" s="475" t="s">
        <v>1378</v>
      </c>
      <c r="I2405" s="487" t="s">
        <v>1379</v>
      </c>
      <c r="J2405" s="509">
        <v>342.7</v>
      </c>
    </row>
    <row r="2406" spans="1:10" ht="20.25" customHeight="1">
      <c r="A2406" s="471">
        <v>5111</v>
      </c>
      <c r="B2406" s="474" t="s">
        <v>1217</v>
      </c>
      <c r="C2406" s="473">
        <v>656</v>
      </c>
      <c r="D2406" s="478">
        <v>15</v>
      </c>
      <c r="E2406" s="474">
        <v>38944</v>
      </c>
      <c r="F2406" s="475" t="s">
        <v>446</v>
      </c>
      <c r="G2406" s="476">
        <v>21</v>
      </c>
      <c r="H2406" s="475" t="s">
        <v>1378</v>
      </c>
      <c r="I2406" s="487" t="s">
        <v>1379</v>
      </c>
      <c r="J2406" s="509">
        <v>342.7</v>
      </c>
    </row>
    <row r="2407" spans="1:10" ht="20.25" customHeight="1">
      <c r="A2407" s="471">
        <v>5111</v>
      </c>
      <c r="B2407" s="474" t="s">
        <v>1217</v>
      </c>
      <c r="C2407" s="473">
        <v>657</v>
      </c>
      <c r="D2407" s="478">
        <v>15</v>
      </c>
      <c r="E2407" s="474">
        <v>38944</v>
      </c>
      <c r="F2407" s="475" t="s">
        <v>446</v>
      </c>
      <c r="G2407" s="476">
        <v>21</v>
      </c>
      <c r="H2407" s="475" t="s">
        <v>1378</v>
      </c>
      <c r="I2407" s="487" t="s">
        <v>1379</v>
      </c>
      <c r="J2407" s="509">
        <v>342.7</v>
      </c>
    </row>
    <row r="2408" spans="1:10" ht="20.25" customHeight="1">
      <c r="A2408" s="471">
        <v>5111</v>
      </c>
      <c r="B2408" s="474" t="s">
        <v>1217</v>
      </c>
      <c r="C2408" s="473">
        <v>658</v>
      </c>
      <c r="D2408" s="478">
        <v>15</v>
      </c>
      <c r="E2408" s="474">
        <v>38944</v>
      </c>
      <c r="F2408" s="475" t="s">
        <v>446</v>
      </c>
      <c r="G2408" s="476">
        <v>21</v>
      </c>
      <c r="H2408" s="475" t="s">
        <v>1378</v>
      </c>
      <c r="I2408" s="487" t="s">
        <v>1379</v>
      </c>
      <c r="J2408" s="509">
        <v>342.7</v>
      </c>
    </row>
    <row r="2409" spans="1:10" ht="20.25" customHeight="1">
      <c r="A2409" s="471">
        <v>5111</v>
      </c>
      <c r="B2409" s="474" t="s">
        <v>1217</v>
      </c>
      <c r="C2409" s="473">
        <v>659</v>
      </c>
      <c r="D2409" s="478">
        <v>15</v>
      </c>
      <c r="E2409" s="474">
        <v>38944</v>
      </c>
      <c r="F2409" s="475" t="s">
        <v>446</v>
      </c>
      <c r="G2409" s="476">
        <v>21</v>
      </c>
      <c r="H2409" s="475" t="s">
        <v>1378</v>
      </c>
      <c r="I2409" s="487" t="s">
        <v>1379</v>
      </c>
      <c r="J2409" s="509">
        <v>342.7</v>
      </c>
    </row>
    <row r="2410" spans="1:10" ht="20.25" customHeight="1">
      <c r="A2410" s="471">
        <v>5111</v>
      </c>
      <c r="B2410" s="474" t="s">
        <v>1217</v>
      </c>
      <c r="C2410" s="473">
        <v>660</v>
      </c>
      <c r="D2410" s="478">
        <v>15</v>
      </c>
      <c r="E2410" s="474">
        <v>38944</v>
      </c>
      <c r="F2410" s="475" t="s">
        <v>446</v>
      </c>
      <c r="G2410" s="476">
        <v>21</v>
      </c>
      <c r="H2410" s="475" t="s">
        <v>1378</v>
      </c>
      <c r="I2410" s="487" t="s">
        <v>1379</v>
      </c>
      <c r="J2410" s="509">
        <v>342.7</v>
      </c>
    </row>
    <row r="2411" spans="1:10" ht="20.25" customHeight="1">
      <c r="A2411" s="471">
        <v>5111</v>
      </c>
      <c r="B2411" s="474" t="s">
        <v>1217</v>
      </c>
      <c r="C2411" s="473">
        <v>661</v>
      </c>
      <c r="D2411" s="478">
        <v>15</v>
      </c>
      <c r="E2411" s="474">
        <v>38944</v>
      </c>
      <c r="F2411" s="475" t="s">
        <v>446</v>
      </c>
      <c r="G2411" s="476">
        <v>21</v>
      </c>
      <c r="H2411" s="475" t="s">
        <v>1378</v>
      </c>
      <c r="I2411" s="487" t="s">
        <v>1379</v>
      </c>
      <c r="J2411" s="509">
        <v>342.7</v>
      </c>
    </row>
    <row r="2412" spans="1:10" ht="20.25" customHeight="1">
      <c r="A2412" s="471">
        <v>5111</v>
      </c>
      <c r="B2412" s="474" t="s">
        <v>1217</v>
      </c>
      <c r="C2412" s="473">
        <v>662</v>
      </c>
      <c r="D2412" s="478">
        <v>15</v>
      </c>
      <c r="E2412" s="474">
        <v>38944</v>
      </c>
      <c r="F2412" s="475" t="s">
        <v>446</v>
      </c>
      <c r="G2412" s="476">
        <v>21</v>
      </c>
      <c r="H2412" s="475" t="s">
        <v>1378</v>
      </c>
      <c r="I2412" s="487" t="s">
        <v>1379</v>
      </c>
      <c r="J2412" s="509">
        <v>342.7</v>
      </c>
    </row>
    <row r="2413" spans="1:10" ht="20.25" customHeight="1">
      <c r="A2413" s="471">
        <v>5111</v>
      </c>
      <c r="B2413" s="474" t="s">
        <v>1217</v>
      </c>
      <c r="C2413" s="473">
        <v>663</v>
      </c>
      <c r="D2413" s="478">
        <v>15</v>
      </c>
      <c r="E2413" s="474">
        <v>38944</v>
      </c>
      <c r="F2413" s="475" t="s">
        <v>446</v>
      </c>
      <c r="G2413" s="476">
        <v>21</v>
      </c>
      <c r="H2413" s="475" t="s">
        <v>1378</v>
      </c>
      <c r="I2413" s="487" t="s">
        <v>1379</v>
      </c>
      <c r="J2413" s="509">
        <v>342.7</v>
      </c>
    </row>
    <row r="2414" spans="1:10" ht="20.25" customHeight="1">
      <c r="A2414" s="471">
        <v>5111</v>
      </c>
      <c r="B2414" s="474" t="s">
        <v>1217</v>
      </c>
      <c r="C2414" s="473">
        <v>664</v>
      </c>
      <c r="D2414" s="478">
        <v>15</v>
      </c>
      <c r="E2414" s="474">
        <v>38944</v>
      </c>
      <c r="F2414" s="475" t="s">
        <v>446</v>
      </c>
      <c r="G2414" s="476">
        <v>21</v>
      </c>
      <c r="H2414" s="475" t="s">
        <v>1378</v>
      </c>
      <c r="I2414" s="487" t="s">
        <v>1379</v>
      </c>
      <c r="J2414" s="509">
        <v>342.7</v>
      </c>
    </row>
    <row r="2415" spans="1:10" ht="20.25" customHeight="1">
      <c r="A2415" s="471">
        <v>5111</v>
      </c>
      <c r="B2415" s="474" t="s">
        <v>1217</v>
      </c>
      <c r="C2415" s="473">
        <v>665</v>
      </c>
      <c r="D2415" s="478">
        <v>15</v>
      </c>
      <c r="E2415" s="474">
        <v>38944</v>
      </c>
      <c r="F2415" s="475" t="s">
        <v>446</v>
      </c>
      <c r="G2415" s="476">
        <v>21</v>
      </c>
      <c r="H2415" s="475" t="s">
        <v>1378</v>
      </c>
      <c r="I2415" s="487" t="s">
        <v>1379</v>
      </c>
      <c r="J2415" s="509">
        <v>342.7</v>
      </c>
    </row>
    <row r="2416" spans="1:10" ht="20.25" customHeight="1">
      <c r="A2416" s="471">
        <v>5111</v>
      </c>
      <c r="B2416" s="474" t="s">
        <v>1217</v>
      </c>
      <c r="C2416" s="473">
        <v>666</v>
      </c>
      <c r="D2416" s="478">
        <v>15</v>
      </c>
      <c r="E2416" s="474">
        <v>38944</v>
      </c>
      <c r="F2416" s="475" t="s">
        <v>446</v>
      </c>
      <c r="G2416" s="476">
        <v>21</v>
      </c>
      <c r="H2416" s="475" t="s">
        <v>1378</v>
      </c>
      <c r="I2416" s="487" t="s">
        <v>1379</v>
      </c>
      <c r="J2416" s="509">
        <v>342.7</v>
      </c>
    </row>
    <row r="2417" spans="1:10" ht="20.25" customHeight="1">
      <c r="A2417" s="471">
        <v>5111</v>
      </c>
      <c r="B2417" s="474" t="s">
        <v>1217</v>
      </c>
      <c r="C2417" s="473">
        <v>667</v>
      </c>
      <c r="D2417" s="478">
        <v>15</v>
      </c>
      <c r="E2417" s="474">
        <v>38944</v>
      </c>
      <c r="F2417" s="475" t="s">
        <v>446</v>
      </c>
      <c r="G2417" s="476">
        <v>21</v>
      </c>
      <c r="H2417" s="475" t="s">
        <v>1378</v>
      </c>
      <c r="I2417" s="487" t="s">
        <v>1379</v>
      </c>
      <c r="J2417" s="509">
        <v>342.7</v>
      </c>
    </row>
    <row r="2418" spans="1:10" ht="20.25" customHeight="1">
      <c r="A2418" s="471">
        <v>5111</v>
      </c>
      <c r="B2418" s="474" t="s">
        <v>1217</v>
      </c>
      <c r="C2418" s="473">
        <v>668</v>
      </c>
      <c r="D2418" s="478">
        <v>15</v>
      </c>
      <c r="E2418" s="474">
        <v>38944</v>
      </c>
      <c r="F2418" s="475" t="s">
        <v>446</v>
      </c>
      <c r="G2418" s="476">
        <v>21</v>
      </c>
      <c r="H2418" s="475" t="s">
        <v>1378</v>
      </c>
      <c r="I2418" s="487" t="s">
        <v>1379</v>
      </c>
      <c r="J2418" s="509">
        <v>342.7</v>
      </c>
    </row>
    <row r="2419" spans="1:10" ht="20.25" customHeight="1">
      <c r="A2419" s="471">
        <v>5111</v>
      </c>
      <c r="B2419" s="474" t="s">
        <v>1217</v>
      </c>
      <c r="C2419" s="473">
        <v>669</v>
      </c>
      <c r="D2419" s="478">
        <v>15</v>
      </c>
      <c r="E2419" s="474">
        <v>38944</v>
      </c>
      <c r="F2419" s="475" t="s">
        <v>446</v>
      </c>
      <c r="G2419" s="476">
        <v>21</v>
      </c>
      <c r="H2419" s="475" t="s">
        <v>1378</v>
      </c>
      <c r="I2419" s="487" t="s">
        <v>1379</v>
      </c>
      <c r="J2419" s="509">
        <v>342.7</v>
      </c>
    </row>
    <row r="2420" spans="1:10" ht="20.25" customHeight="1">
      <c r="A2420" s="471">
        <v>5111</v>
      </c>
      <c r="B2420" s="474" t="s">
        <v>1217</v>
      </c>
      <c r="C2420" s="473">
        <v>670</v>
      </c>
      <c r="D2420" s="478">
        <v>15</v>
      </c>
      <c r="E2420" s="474">
        <v>38944</v>
      </c>
      <c r="F2420" s="475" t="s">
        <v>446</v>
      </c>
      <c r="G2420" s="476">
        <v>21</v>
      </c>
      <c r="H2420" s="475" t="s">
        <v>1378</v>
      </c>
      <c r="I2420" s="487" t="s">
        <v>1379</v>
      </c>
      <c r="J2420" s="509">
        <v>342.7</v>
      </c>
    </row>
    <row r="2421" spans="1:10" ht="20.25" customHeight="1">
      <c r="A2421" s="471">
        <v>5111</v>
      </c>
      <c r="B2421" s="474" t="s">
        <v>1217</v>
      </c>
      <c r="C2421" s="473">
        <v>671</v>
      </c>
      <c r="D2421" s="478">
        <v>15</v>
      </c>
      <c r="E2421" s="474">
        <v>38944</v>
      </c>
      <c r="F2421" s="475" t="s">
        <v>446</v>
      </c>
      <c r="G2421" s="476">
        <v>21</v>
      </c>
      <c r="H2421" s="475" t="s">
        <v>1378</v>
      </c>
      <c r="I2421" s="487" t="s">
        <v>1379</v>
      </c>
      <c r="J2421" s="509">
        <v>342.7</v>
      </c>
    </row>
    <row r="2422" spans="1:10" ht="20.25" customHeight="1">
      <c r="A2422" s="471">
        <v>5111</v>
      </c>
      <c r="B2422" s="474" t="s">
        <v>1217</v>
      </c>
      <c r="C2422" s="473">
        <v>672</v>
      </c>
      <c r="D2422" s="478">
        <v>15</v>
      </c>
      <c r="E2422" s="474">
        <v>38944</v>
      </c>
      <c r="F2422" s="475" t="s">
        <v>446</v>
      </c>
      <c r="G2422" s="476">
        <v>21</v>
      </c>
      <c r="H2422" s="475" t="s">
        <v>1378</v>
      </c>
      <c r="I2422" s="487" t="s">
        <v>1379</v>
      </c>
      <c r="J2422" s="509">
        <v>342.7</v>
      </c>
    </row>
    <row r="2423" spans="1:10" ht="20.25" customHeight="1">
      <c r="A2423" s="471">
        <v>5111</v>
      </c>
      <c r="B2423" s="474" t="s">
        <v>1217</v>
      </c>
      <c r="C2423" s="473">
        <v>673</v>
      </c>
      <c r="D2423" s="478">
        <v>15</v>
      </c>
      <c r="E2423" s="474">
        <v>38944</v>
      </c>
      <c r="F2423" s="475" t="s">
        <v>446</v>
      </c>
      <c r="G2423" s="476">
        <v>21</v>
      </c>
      <c r="H2423" s="475" t="s">
        <v>1378</v>
      </c>
      <c r="I2423" s="487" t="s">
        <v>1379</v>
      </c>
      <c r="J2423" s="509">
        <v>342.7</v>
      </c>
    </row>
    <row r="2424" spans="1:10" ht="20.25" customHeight="1">
      <c r="A2424" s="471">
        <v>5111</v>
      </c>
      <c r="B2424" s="474" t="s">
        <v>1217</v>
      </c>
      <c r="C2424" s="473">
        <v>674</v>
      </c>
      <c r="D2424" s="478">
        <v>15</v>
      </c>
      <c r="E2424" s="474">
        <v>38944</v>
      </c>
      <c r="F2424" s="475" t="s">
        <v>446</v>
      </c>
      <c r="G2424" s="476">
        <v>21</v>
      </c>
      <c r="H2424" s="475" t="s">
        <v>1378</v>
      </c>
      <c r="I2424" s="487" t="s">
        <v>1379</v>
      </c>
      <c r="J2424" s="509">
        <v>342.7</v>
      </c>
    </row>
    <row r="2425" spans="1:10" ht="20.25" customHeight="1">
      <c r="A2425" s="471">
        <v>5111</v>
      </c>
      <c r="B2425" s="474" t="s">
        <v>1217</v>
      </c>
      <c r="C2425" s="473">
        <v>675</v>
      </c>
      <c r="D2425" s="478">
        <v>15</v>
      </c>
      <c r="E2425" s="474">
        <v>38944</v>
      </c>
      <c r="F2425" s="475" t="s">
        <v>446</v>
      </c>
      <c r="G2425" s="476">
        <v>21</v>
      </c>
      <c r="H2425" s="475" t="s">
        <v>1378</v>
      </c>
      <c r="I2425" s="487" t="s">
        <v>1379</v>
      </c>
      <c r="J2425" s="509">
        <v>342.7</v>
      </c>
    </row>
    <row r="2426" spans="1:10" ht="20.25" customHeight="1">
      <c r="A2426" s="471">
        <v>5111</v>
      </c>
      <c r="B2426" s="474" t="s">
        <v>1217</v>
      </c>
      <c r="C2426" s="473">
        <v>676</v>
      </c>
      <c r="D2426" s="478">
        <v>15</v>
      </c>
      <c r="E2426" s="474">
        <v>38944</v>
      </c>
      <c r="F2426" s="475" t="s">
        <v>446</v>
      </c>
      <c r="G2426" s="476">
        <v>21</v>
      </c>
      <c r="H2426" s="475" t="s">
        <v>1378</v>
      </c>
      <c r="I2426" s="487" t="s">
        <v>1379</v>
      </c>
      <c r="J2426" s="509">
        <v>342.7</v>
      </c>
    </row>
    <row r="2427" spans="1:10" ht="20.25" customHeight="1">
      <c r="A2427" s="471">
        <v>5111</v>
      </c>
      <c r="B2427" s="474" t="s">
        <v>1217</v>
      </c>
      <c r="C2427" s="473">
        <v>677</v>
      </c>
      <c r="D2427" s="478">
        <v>15</v>
      </c>
      <c r="E2427" s="474">
        <v>38944</v>
      </c>
      <c r="F2427" s="475" t="s">
        <v>446</v>
      </c>
      <c r="G2427" s="476">
        <v>21</v>
      </c>
      <c r="H2427" s="475" t="s">
        <v>1378</v>
      </c>
      <c r="I2427" s="487" t="s">
        <v>1379</v>
      </c>
      <c r="J2427" s="509">
        <v>342.7</v>
      </c>
    </row>
    <row r="2428" spans="1:10" ht="20.25" customHeight="1">
      <c r="A2428" s="471">
        <v>5111</v>
      </c>
      <c r="B2428" s="474" t="s">
        <v>1217</v>
      </c>
      <c r="C2428" s="473">
        <v>678</v>
      </c>
      <c r="D2428" s="478">
        <v>15</v>
      </c>
      <c r="E2428" s="474">
        <v>38944</v>
      </c>
      <c r="F2428" s="475" t="s">
        <v>446</v>
      </c>
      <c r="G2428" s="476">
        <v>21</v>
      </c>
      <c r="H2428" s="475" t="s">
        <v>1378</v>
      </c>
      <c r="I2428" s="487" t="s">
        <v>1379</v>
      </c>
      <c r="J2428" s="509">
        <v>342.7</v>
      </c>
    </row>
    <row r="2429" spans="1:10" ht="20.25" customHeight="1">
      <c r="A2429" s="471">
        <v>5111</v>
      </c>
      <c r="B2429" s="474" t="s">
        <v>1217</v>
      </c>
      <c r="C2429" s="473">
        <v>679</v>
      </c>
      <c r="D2429" s="478">
        <v>15</v>
      </c>
      <c r="E2429" s="474">
        <v>38944</v>
      </c>
      <c r="F2429" s="475" t="s">
        <v>446</v>
      </c>
      <c r="G2429" s="476">
        <v>21</v>
      </c>
      <c r="H2429" s="475" t="s">
        <v>1378</v>
      </c>
      <c r="I2429" s="487" t="s">
        <v>1379</v>
      </c>
      <c r="J2429" s="509">
        <v>342.7</v>
      </c>
    </row>
    <row r="2430" spans="1:10" ht="20.25" customHeight="1">
      <c r="A2430" s="471">
        <v>5111</v>
      </c>
      <c r="B2430" s="474" t="s">
        <v>1217</v>
      </c>
      <c r="C2430" s="473">
        <v>680</v>
      </c>
      <c r="D2430" s="478">
        <v>15</v>
      </c>
      <c r="E2430" s="474">
        <v>38944</v>
      </c>
      <c r="F2430" s="475" t="s">
        <v>446</v>
      </c>
      <c r="G2430" s="476">
        <v>21</v>
      </c>
      <c r="H2430" s="475" t="s">
        <v>1378</v>
      </c>
      <c r="I2430" s="487" t="s">
        <v>1379</v>
      </c>
      <c r="J2430" s="509">
        <v>342.7</v>
      </c>
    </row>
    <row r="2431" spans="1:10" ht="20.25" customHeight="1">
      <c r="A2431" s="471">
        <v>5111</v>
      </c>
      <c r="B2431" s="474" t="s">
        <v>1217</v>
      </c>
      <c r="C2431" s="473">
        <v>681</v>
      </c>
      <c r="D2431" s="478">
        <v>15</v>
      </c>
      <c r="E2431" s="474">
        <v>38944</v>
      </c>
      <c r="F2431" s="475" t="s">
        <v>446</v>
      </c>
      <c r="G2431" s="476">
        <v>21</v>
      </c>
      <c r="H2431" s="475" t="s">
        <v>1378</v>
      </c>
      <c r="I2431" s="487" t="s">
        <v>1379</v>
      </c>
      <c r="J2431" s="509">
        <v>342.7</v>
      </c>
    </row>
    <row r="2432" spans="1:10" ht="20.25" customHeight="1">
      <c r="A2432" s="471">
        <v>5111</v>
      </c>
      <c r="B2432" s="474" t="s">
        <v>1217</v>
      </c>
      <c r="C2432" s="473">
        <v>682</v>
      </c>
      <c r="D2432" s="478">
        <v>15</v>
      </c>
      <c r="E2432" s="474">
        <v>38944</v>
      </c>
      <c r="F2432" s="475" t="s">
        <v>446</v>
      </c>
      <c r="G2432" s="476">
        <v>21</v>
      </c>
      <c r="H2432" s="475" t="s">
        <v>1378</v>
      </c>
      <c r="I2432" s="487" t="s">
        <v>1379</v>
      </c>
      <c r="J2432" s="509">
        <v>342.7</v>
      </c>
    </row>
    <row r="2433" spans="1:10" ht="20.25" customHeight="1">
      <c r="A2433" s="471">
        <v>5111</v>
      </c>
      <c r="B2433" s="474" t="s">
        <v>1217</v>
      </c>
      <c r="C2433" s="473">
        <v>683</v>
      </c>
      <c r="D2433" s="478">
        <v>15</v>
      </c>
      <c r="E2433" s="474">
        <v>38944</v>
      </c>
      <c r="F2433" s="475" t="s">
        <v>446</v>
      </c>
      <c r="G2433" s="476">
        <v>21</v>
      </c>
      <c r="H2433" s="475" t="s">
        <v>1378</v>
      </c>
      <c r="I2433" s="487" t="s">
        <v>1379</v>
      </c>
      <c r="J2433" s="509">
        <v>342.7</v>
      </c>
    </row>
    <row r="2434" spans="1:10" ht="20.25" customHeight="1">
      <c r="A2434" s="471">
        <v>5111</v>
      </c>
      <c r="B2434" s="474" t="s">
        <v>1217</v>
      </c>
      <c r="C2434" s="473">
        <v>684</v>
      </c>
      <c r="D2434" s="478">
        <v>15</v>
      </c>
      <c r="E2434" s="474">
        <v>38944</v>
      </c>
      <c r="F2434" s="475" t="s">
        <v>446</v>
      </c>
      <c r="G2434" s="476">
        <v>21</v>
      </c>
      <c r="H2434" s="475" t="s">
        <v>1378</v>
      </c>
      <c r="I2434" s="487" t="s">
        <v>1379</v>
      </c>
      <c r="J2434" s="509">
        <v>342.7</v>
      </c>
    </row>
    <row r="2435" spans="1:10" ht="20.25" customHeight="1">
      <c r="A2435" s="471">
        <v>5111</v>
      </c>
      <c r="B2435" s="474" t="s">
        <v>1217</v>
      </c>
      <c r="C2435" s="473">
        <v>685</v>
      </c>
      <c r="D2435" s="478">
        <v>15</v>
      </c>
      <c r="E2435" s="474">
        <v>38944</v>
      </c>
      <c r="F2435" s="475" t="s">
        <v>446</v>
      </c>
      <c r="G2435" s="476">
        <v>21</v>
      </c>
      <c r="H2435" s="475" t="s">
        <v>1378</v>
      </c>
      <c r="I2435" s="487" t="s">
        <v>1379</v>
      </c>
      <c r="J2435" s="509">
        <v>342.7</v>
      </c>
    </row>
    <row r="2436" spans="1:10" ht="20.25" customHeight="1">
      <c r="A2436" s="471">
        <v>5111</v>
      </c>
      <c r="B2436" s="474" t="s">
        <v>1217</v>
      </c>
      <c r="C2436" s="473">
        <v>686</v>
      </c>
      <c r="D2436" s="478">
        <v>15</v>
      </c>
      <c r="E2436" s="474">
        <v>38944</v>
      </c>
      <c r="F2436" s="475" t="s">
        <v>446</v>
      </c>
      <c r="G2436" s="476">
        <v>21</v>
      </c>
      <c r="H2436" s="475" t="s">
        <v>1378</v>
      </c>
      <c r="I2436" s="487" t="s">
        <v>1379</v>
      </c>
      <c r="J2436" s="509">
        <v>342.7</v>
      </c>
    </row>
    <row r="2437" spans="1:10" ht="20.25" customHeight="1">
      <c r="A2437" s="471">
        <v>5111</v>
      </c>
      <c r="B2437" s="474" t="s">
        <v>1217</v>
      </c>
      <c r="C2437" s="473">
        <v>687</v>
      </c>
      <c r="D2437" s="478">
        <v>15</v>
      </c>
      <c r="E2437" s="474">
        <v>38944</v>
      </c>
      <c r="F2437" s="475" t="s">
        <v>446</v>
      </c>
      <c r="G2437" s="476">
        <v>21</v>
      </c>
      <c r="H2437" s="475" t="s">
        <v>1378</v>
      </c>
      <c r="I2437" s="487" t="s">
        <v>1379</v>
      </c>
      <c r="J2437" s="509">
        <v>342.7</v>
      </c>
    </row>
    <row r="2438" spans="1:10" ht="20.25" customHeight="1">
      <c r="A2438" s="471">
        <v>5111</v>
      </c>
      <c r="B2438" s="474" t="s">
        <v>1217</v>
      </c>
      <c r="C2438" s="473">
        <v>688</v>
      </c>
      <c r="D2438" s="478">
        <v>15</v>
      </c>
      <c r="E2438" s="474">
        <v>38944</v>
      </c>
      <c r="F2438" s="475" t="s">
        <v>446</v>
      </c>
      <c r="G2438" s="476">
        <v>21</v>
      </c>
      <c r="H2438" s="475" t="s">
        <v>1378</v>
      </c>
      <c r="I2438" s="487" t="s">
        <v>1379</v>
      </c>
      <c r="J2438" s="509">
        <v>342.7</v>
      </c>
    </row>
    <row r="2439" spans="1:10" ht="20.25" customHeight="1">
      <c r="A2439" s="471">
        <v>5111</v>
      </c>
      <c r="B2439" s="474" t="s">
        <v>1217</v>
      </c>
      <c r="C2439" s="473">
        <v>689</v>
      </c>
      <c r="D2439" s="478">
        <v>15</v>
      </c>
      <c r="E2439" s="474">
        <v>38944</v>
      </c>
      <c r="F2439" s="475" t="s">
        <v>446</v>
      </c>
      <c r="G2439" s="476">
        <v>21</v>
      </c>
      <c r="H2439" s="475" t="s">
        <v>1378</v>
      </c>
      <c r="I2439" s="487" t="s">
        <v>1379</v>
      </c>
      <c r="J2439" s="509">
        <v>342.7</v>
      </c>
    </row>
    <row r="2440" spans="1:10" ht="20.25" customHeight="1">
      <c r="A2440" s="471">
        <v>5111</v>
      </c>
      <c r="B2440" s="474" t="s">
        <v>1217</v>
      </c>
      <c r="C2440" s="473">
        <v>690</v>
      </c>
      <c r="D2440" s="478">
        <v>15</v>
      </c>
      <c r="E2440" s="474">
        <v>38944</v>
      </c>
      <c r="F2440" s="475" t="s">
        <v>446</v>
      </c>
      <c r="G2440" s="476">
        <v>21</v>
      </c>
      <c r="H2440" s="475" t="s">
        <v>1378</v>
      </c>
      <c r="I2440" s="487" t="s">
        <v>1379</v>
      </c>
      <c r="J2440" s="509">
        <v>342.7</v>
      </c>
    </row>
    <row r="2441" spans="1:10" ht="20.25" customHeight="1">
      <c r="A2441" s="471">
        <v>5111</v>
      </c>
      <c r="B2441" s="474" t="s">
        <v>1217</v>
      </c>
      <c r="C2441" s="473">
        <v>691</v>
      </c>
      <c r="D2441" s="478">
        <v>15</v>
      </c>
      <c r="E2441" s="474">
        <v>38944</v>
      </c>
      <c r="F2441" s="475" t="s">
        <v>446</v>
      </c>
      <c r="G2441" s="476">
        <v>21</v>
      </c>
      <c r="H2441" s="475" t="s">
        <v>1378</v>
      </c>
      <c r="I2441" s="487" t="s">
        <v>1379</v>
      </c>
      <c r="J2441" s="509">
        <v>342.7</v>
      </c>
    </row>
    <row r="2442" spans="1:10" ht="20.25" customHeight="1">
      <c r="A2442" s="471">
        <v>5111</v>
      </c>
      <c r="B2442" s="474" t="s">
        <v>1217</v>
      </c>
      <c r="C2442" s="473">
        <v>692</v>
      </c>
      <c r="D2442" s="478">
        <v>15</v>
      </c>
      <c r="E2442" s="474">
        <v>38944</v>
      </c>
      <c r="F2442" s="475" t="s">
        <v>446</v>
      </c>
      <c r="G2442" s="476">
        <v>21</v>
      </c>
      <c r="H2442" s="475" t="s">
        <v>1378</v>
      </c>
      <c r="I2442" s="487" t="s">
        <v>1379</v>
      </c>
      <c r="J2442" s="509">
        <v>342.7</v>
      </c>
    </row>
    <row r="2443" spans="1:10" ht="20.25" customHeight="1">
      <c r="A2443" s="471">
        <v>5111</v>
      </c>
      <c r="B2443" s="474" t="s">
        <v>1217</v>
      </c>
      <c r="C2443" s="473">
        <v>693</v>
      </c>
      <c r="D2443" s="478">
        <v>15</v>
      </c>
      <c r="E2443" s="474">
        <v>38944</v>
      </c>
      <c r="F2443" s="475" t="s">
        <v>446</v>
      </c>
      <c r="G2443" s="476">
        <v>21</v>
      </c>
      <c r="H2443" s="475" t="s">
        <v>1378</v>
      </c>
      <c r="I2443" s="487" t="s">
        <v>1379</v>
      </c>
      <c r="J2443" s="509">
        <v>342.7</v>
      </c>
    </row>
    <row r="2444" spans="1:10" ht="20.25" customHeight="1">
      <c r="A2444" s="471">
        <v>5111</v>
      </c>
      <c r="B2444" s="474" t="s">
        <v>1217</v>
      </c>
      <c r="C2444" s="473">
        <v>694</v>
      </c>
      <c r="D2444" s="478">
        <v>15</v>
      </c>
      <c r="E2444" s="474">
        <v>38944</v>
      </c>
      <c r="F2444" s="475" t="s">
        <v>446</v>
      </c>
      <c r="G2444" s="476">
        <v>21</v>
      </c>
      <c r="H2444" s="475" t="s">
        <v>1378</v>
      </c>
      <c r="I2444" s="487" t="s">
        <v>1379</v>
      </c>
      <c r="J2444" s="509">
        <v>342.7</v>
      </c>
    </row>
    <row r="2445" spans="1:10" ht="20.25" customHeight="1">
      <c r="A2445" s="471">
        <v>5111</v>
      </c>
      <c r="B2445" s="474" t="s">
        <v>1217</v>
      </c>
      <c r="C2445" s="473">
        <v>695</v>
      </c>
      <c r="D2445" s="478">
        <v>15</v>
      </c>
      <c r="E2445" s="474">
        <v>38944</v>
      </c>
      <c r="F2445" s="475" t="s">
        <v>446</v>
      </c>
      <c r="G2445" s="476">
        <v>21</v>
      </c>
      <c r="H2445" s="475" t="s">
        <v>1378</v>
      </c>
      <c r="I2445" s="487" t="s">
        <v>1379</v>
      </c>
      <c r="J2445" s="509">
        <v>342.7</v>
      </c>
    </row>
    <row r="2446" spans="1:10" ht="20.25" customHeight="1">
      <c r="A2446" s="471">
        <v>5111</v>
      </c>
      <c r="B2446" s="474" t="s">
        <v>1217</v>
      </c>
      <c r="C2446" s="473">
        <v>696</v>
      </c>
      <c r="D2446" s="478">
        <v>15</v>
      </c>
      <c r="E2446" s="474">
        <v>38944</v>
      </c>
      <c r="F2446" s="475" t="s">
        <v>446</v>
      </c>
      <c r="G2446" s="476">
        <v>21</v>
      </c>
      <c r="H2446" s="475" t="s">
        <v>1378</v>
      </c>
      <c r="I2446" s="487" t="s">
        <v>1379</v>
      </c>
      <c r="J2446" s="509">
        <v>342.7</v>
      </c>
    </row>
    <row r="2447" spans="1:10" ht="20.25" customHeight="1">
      <c r="A2447" s="471">
        <v>5111</v>
      </c>
      <c r="B2447" s="474" t="s">
        <v>1217</v>
      </c>
      <c r="C2447" s="473">
        <v>697</v>
      </c>
      <c r="D2447" s="478">
        <v>15</v>
      </c>
      <c r="E2447" s="474">
        <v>38944</v>
      </c>
      <c r="F2447" s="475" t="s">
        <v>446</v>
      </c>
      <c r="G2447" s="476">
        <v>21</v>
      </c>
      <c r="H2447" s="475" t="s">
        <v>1378</v>
      </c>
      <c r="I2447" s="487" t="s">
        <v>1379</v>
      </c>
      <c r="J2447" s="509">
        <v>342.7</v>
      </c>
    </row>
    <row r="2448" spans="1:10" ht="20.25" customHeight="1">
      <c r="A2448" s="471">
        <v>5111</v>
      </c>
      <c r="B2448" s="474" t="s">
        <v>1217</v>
      </c>
      <c r="C2448" s="473">
        <v>698</v>
      </c>
      <c r="D2448" s="478">
        <v>15</v>
      </c>
      <c r="E2448" s="474">
        <v>38944</v>
      </c>
      <c r="F2448" s="475" t="s">
        <v>446</v>
      </c>
      <c r="G2448" s="476">
        <v>21</v>
      </c>
      <c r="H2448" s="475" t="s">
        <v>1378</v>
      </c>
      <c r="I2448" s="487" t="s">
        <v>1379</v>
      </c>
      <c r="J2448" s="509">
        <v>342.7</v>
      </c>
    </row>
    <row r="2449" spans="1:10" ht="20.25" customHeight="1">
      <c r="A2449" s="471">
        <v>5111</v>
      </c>
      <c r="B2449" s="474" t="s">
        <v>1217</v>
      </c>
      <c r="C2449" s="473">
        <v>699</v>
      </c>
      <c r="D2449" s="478">
        <v>15</v>
      </c>
      <c r="E2449" s="474">
        <v>38944</v>
      </c>
      <c r="F2449" s="475" t="s">
        <v>446</v>
      </c>
      <c r="G2449" s="476">
        <v>21</v>
      </c>
      <c r="H2449" s="475" t="s">
        <v>1378</v>
      </c>
      <c r="I2449" s="487" t="s">
        <v>1379</v>
      </c>
      <c r="J2449" s="509">
        <v>342.7</v>
      </c>
    </row>
    <row r="2450" spans="1:10" ht="20.25" customHeight="1">
      <c r="A2450" s="471">
        <v>5111</v>
      </c>
      <c r="B2450" s="474" t="s">
        <v>1217</v>
      </c>
      <c r="C2450" s="473">
        <v>700</v>
      </c>
      <c r="D2450" s="478">
        <v>15</v>
      </c>
      <c r="E2450" s="474">
        <v>38944</v>
      </c>
      <c r="F2450" s="475" t="s">
        <v>446</v>
      </c>
      <c r="G2450" s="476">
        <v>21</v>
      </c>
      <c r="H2450" s="475" t="s">
        <v>1378</v>
      </c>
      <c r="I2450" s="487" t="s">
        <v>1379</v>
      </c>
      <c r="J2450" s="509">
        <v>342.7</v>
      </c>
    </row>
    <row r="2451" spans="1:10" ht="20.25" customHeight="1">
      <c r="A2451" s="471">
        <v>5111</v>
      </c>
      <c r="B2451" s="474" t="s">
        <v>1217</v>
      </c>
      <c r="C2451" s="473">
        <v>701</v>
      </c>
      <c r="D2451" s="478">
        <v>15</v>
      </c>
      <c r="E2451" s="474">
        <v>38944</v>
      </c>
      <c r="F2451" s="475" t="s">
        <v>446</v>
      </c>
      <c r="G2451" s="476">
        <v>21</v>
      </c>
      <c r="H2451" s="475" t="s">
        <v>1378</v>
      </c>
      <c r="I2451" s="487" t="s">
        <v>1379</v>
      </c>
      <c r="J2451" s="509">
        <v>342.7</v>
      </c>
    </row>
    <row r="2452" spans="1:10" ht="20.25" customHeight="1">
      <c r="A2452" s="471">
        <v>5111</v>
      </c>
      <c r="B2452" s="474" t="s">
        <v>1217</v>
      </c>
      <c r="C2452" s="473">
        <v>702</v>
      </c>
      <c r="D2452" s="478">
        <v>15</v>
      </c>
      <c r="E2452" s="474">
        <v>38944</v>
      </c>
      <c r="F2452" s="475" t="s">
        <v>446</v>
      </c>
      <c r="G2452" s="476">
        <v>21</v>
      </c>
      <c r="H2452" s="475" t="s">
        <v>1378</v>
      </c>
      <c r="I2452" s="487" t="s">
        <v>1379</v>
      </c>
      <c r="J2452" s="509">
        <v>342.7</v>
      </c>
    </row>
    <row r="2453" spans="1:10" ht="20.25" customHeight="1">
      <c r="A2453" s="471">
        <v>5111</v>
      </c>
      <c r="B2453" s="474" t="s">
        <v>1217</v>
      </c>
      <c r="C2453" s="473">
        <v>703</v>
      </c>
      <c r="D2453" s="478">
        <v>15</v>
      </c>
      <c r="E2453" s="474">
        <v>38944</v>
      </c>
      <c r="F2453" s="475" t="s">
        <v>446</v>
      </c>
      <c r="G2453" s="476">
        <v>21</v>
      </c>
      <c r="H2453" s="475" t="s">
        <v>1378</v>
      </c>
      <c r="I2453" s="487" t="s">
        <v>1379</v>
      </c>
      <c r="J2453" s="509">
        <v>342.7</v>
      </c>
    </row>
    <row r="2454" spans="1:10" ht="20.25" customHeight="1">
      <c r="A2454" s="471">
        <v>5111</v>
      </c>
      <c r="B2454" s="474" t="s">
        <v>1217</v>
      </c>
      <c r="C2454" s="473">
        <v>704</v>
      </c>
      <c r="D2454" s="478">
        <v>15</v>
      </c>
      <c r="E2454" s="474">
        <v>38944</v>
      </c>
      <c r="F2454" s="475" t="s">
        <v>446</v>
      </c>
      <c r="G2454" s="476">
        <v>21</v>
      </c>
      <c r="H2454" s="475" t="s">
        <v>1378</v>
      </c>
      <c r="I2454" s="487" t="s">
        <v>1379</v>
      </c>
      <c r="J2454" s="509">
        <v>342.7</v>
      </c>
    </row>
    <row r="2455" spans="1:10" ht="20.25" customHeight="1">
      <c r="A2455" s="471">
        <v>5111</v>
      </c>
      <c r="B2455" s="474" t="s">
        <v>1217</v>
      </c>
      <c r="C2455" s="473">
        <v>705</v>
      </c>
      <c r="D2455" s="478">
        <v>15</v>
      </c>
      <c r="E2455" s="474">
        <v>38944</v>
      </c>
      <c r="F2455" s="475" t="s">
        <v>446</v>
      </c>
      <c r="G2455" s="476">
        <v>21</v>
      </c>
      <c r="H2455" s="475" t="s">
        <v>1378</v>
      </c>
      <c r="I2455" s="487" t="s">
        <v>1379</v>
      </c>
      <c r="J2455" s="509">
        <v>342.7</v>
      </c>
    </row>
    <row r="2456" spans="1:10" ht="20.25" customHeight="1">
      <c r="A2456" s="471">
        <v>5111</v>
      </c>
      <c r="B2456" s="474" t="s">
        <v>1217</v>
      </c>
      <c r="C2456" s="473">
        <v>706</v>
      </c>
      <c r="D2456" s="478">
        <v>15</v>
      </c>
      <c r="E2456" s="474">
        <v>38944</v>
      </c>
      <c r="F2456" s="475" t="s">
        <v>446</v>
      </c>
      <c r="G2456" s="476">
        <v>21</v>
      </c>
      <c r="H2456" s="475" t="s">
        <v>1378</v>
      </c>
      <c r="I2456" s="487" t="s">
        <v>1379</v>
      </c>
      <c r="J2456" s="509">
        <v>342.7</v>
      </c>
    </row>
    <row r="2457" spans="1:10" ht="20.25" customHeight="1">
      <c r="A2457" s="471">
        <v>5111</v>
      </c>
      <c r="B2457" s="474" t="s">
        <v>1217</v>
      </c>
      <c r="C2457" s="473">
        <v>707</v>
      </c>
      <c r="D2457" s="478">
        <v>15</v>
      </c>
      <c r="E2457" s="474">
        <v>38944</v>
      </c>
      <c r="F2457" s="475" t="s">
        <v>446</v>
      </c>
      <c r="G2457" s="476">
        <v>21</v>
      </c>
      <c r="H2457" s="475" t="s">
        <v>1378</v>
      </c>
      <c r="I2457" s="487" t="s">
        <v>1379</v>
      </c>
      <c r="J2457" s="509">
        <v>342.7</v>
      </c>
    </row>
    <row r="2458" spans="1:10" ht="20.25" customHeight="1">
      <c r="A2458" s="471">
        <v>5111</v>
      </c>
      <c r="B2458" s="474" t="s">
        <v>1217</v>
      </c>
      <c r="C2458" s="473">
        <v>708</v>
      </c>
      <c r="D2458" s="478">
        <v>15</v>
      </c>
      <c r="E2458" s="474">
        <v>38944</v>
      </c>
      <c r="F2458" s="475" t="s">
        <v>446</v>
      </c>
      <c r="G2458" s="476">
        <v>21</v>
      </c>
      <c r="H2458" s="475" t="s">
        <v>1378</v>
      </c>
      <c r="I2458" s="487" t="s">
        <v>1379</v>
      </c>
      <c r="J2458" s="509">
        <v>342.7</v>
      </c>
    </row>
    <row r="2459" spans="1:10" ht="20.25" customHeight="1">
      <c r="A2459" s="471">
        <v>5111</v>
      </c>
      <c r="B2459" s="474" t="s">
        <v>1217</v>
      </c>
      <c r="C2459" s="473">
        <v>709</v>
      </c>
      <c r="D2459" s="478">
        <v>15</v>
      </c>
      <c r="E2459" s="474">
        <v>38944</v>
      </c>
      <c r="F2459" s="475" t="s">
        <v>446</v>
      </c>
      <c r="G2459" s="476">
        <v>21</v>
      </c>
      <c r="H2459" s="475" t="s">
        <v>1378</v>
      </c>
      <c r="I2459" s="487" t="s">
        <v>1379</v>
      </c>
      <c r="J2459" s="509">
        <v>342.7</v>
      </c>
    </row>
    <row r="2460" spans="1:10" ht="20.25" customHeight="1">
      <c r="A2460" s="471">
        <v>5111</v>
      </c>
      <c r="B2460" s="474" t="s">
        <v>1217</v>
      </c>
      <c r="C2460" s="473">
        <v>710</v>
      </c>
      <c r="D2460" s="478">
        <v>15</v>
      </c>
      <c r="E2460" s="474">
        <v>38944</v>
      </c>
      <c r="F2460" s="475" t="s">
        <v>446</v>
      </c>
      <c r="G2460" s="476">
        <v>21</v>
      </c>
      <c r="H2460" s="475" t="s">
        <v>1378</v>
      </c>
      <c r="I2460" s="487" t="s">
        <v>1379</v>
      </c>
      <c r="J2460" s="509">
        <v>342.7</v>
      </c>
    </row>
    <row r="2461" spans="1:10" ht="20.25" customHeight="1">
      <c r="A2461" s="471">
        <v>5111</v>
      </c>
      <c r="B2461" s="474" t="s">
        <v>1217</v>
      </c>
      <c r="C2461" s="473">
        <v>711</v>
      </c>
      <c r="D2461" s="478">
        <v>15</v>
      </c>
      <c r="E2461" s="474">
        <v>38944</v>
      </c>
      <c r="F2461" s="475" t="s">
        <v>446</v>
      </c>
      <c r="G2461" s="476">
        <v>21</v>
      </c>
      <c r="H2461" s="475" t="s">
        <v>1378</v>
      </c>
      <c r="I2461" s="487" t="s">
        <v>1379</v>
      </c>
      <c r="J2461" s="509">
        <v>342.7</v>
      </c>
    </row>
    <row r="2462" spans="1:10" ht="20.25" customHeight="1">
      <c r="A2462" s="471">
        <v>5111</v>
      </c>
      <c r="B2462" s="474" t="s">
        <v>1217</v>
      </c>
      <c r="C2462" s="473">
        <v>712</v>
      </c>
      <c r="D2462" s="478">
        <v>15</v>
      </c>
      <c r="E2462" s="474">
        <v>38944</v>
      </c>
      <c r="F2462" s="475" t="s">
        <v>446</v>
      </c>
      <c r="G2462" s="476">
        <v>21</v>
      </c>
      <c r="H2462" s="475" t="s">
        <v>1378</v>
      </c>
      <c r="I2462" s="487" t="s">
        <v>1379</v>
      </c>
      <c r="J2462" s="509">
        <v>342.7</v>
      </c>
    </row>
    <row r="2463" spans="1:10" ht="20.25" customHeight="1">
      <c r="A2463" s="471">
        <v>5111</v>
      </c>
      <c r="B2463" s="474" t="s">
        <v>1217</v>
      </c>
      <c r="C2463" s="473">
        <v>713</v>
      </c>
      <c r="D2463" s="478">
        <v>15</v>
      </c>
      <c r="E2463" s="474">
        <v>38944</v>
      </c>
      <c r="F2463" s="475" t="s">
        <v>446</v>
      </c>
      <c r="G2463" s="476">
        <v>21</v>
      </c>
      <c r="H2463" s="475" t="s">
        <v>1378</v>
      </c>
      <c r="I2463" s="487" t="s">
        <v>1379</v>
      </c>
      <c r="J2463" s="509">
        <v>342.7</v>
      </c>
    </row>
    <row r="2464" spans="1:10" ht="20.25" customHeight="1">
      <c r="A2464" s="471">
        <v>5111</v>
      </c>
      <c r="B2464" s="474" t="s">
        <v>1217</v>
      </c>
      <c r="C2464" s="473">
        <v>714</v>
      </c>
      <c r="D2464" s="478">
        <v>15</v>
      </c>
      <c r="E2464" s="474">
        <v>38944</v>
      </c>
      <c r="F2464" s="475" t="s">
        <v>446</v>
      </c>
      <c r="G2464" s="476">
        <v>21</v>
      </c>
      <c r="H2464" s="475" t="s">
        <v>1378</v>
      </c>
      <c r="I2464" s="487" t="s">
        <v>1379</v>
      </c>
      <c r="J2464" s="509">
        <v>342.7</v>
      </c>
    </row>
    <row r="2465" spans="1:10" ht="20.25" customHeight="1">
      <c r="A2465" s="471">
        <v>5111</v>
      </c>
      <c r="B2465" s="474" t="s">
        <v>1217</v>
      </c>
      <c r="C2465" s="473">
        <v>715</v>
      </c>
      <c r="D2465" s="478">
        <v>15</v>
      </c>
      <c r="E2465" s="474">
        <v>38944</v>
      </c>
      <c r="F2465" s="475" t="s">
        <v>446</v>
      </c>
      <c r="G2465" s="476">
        <v>21</v>
      </c>
      <c r="H2465" s="475" t="s">
        <v>1378</v>
      </c>
      <c r="I2465" s="487" t="s">
        <v>1379</v>
      </c>
      <c r="J2465" s="509">
        <v>342.7</v>
      </c>
    </row>
    <row r="2466" spans="1:10" ht="20.25" customHeight="1">
      <c r="A2466" s="471">
        <v>5111</v>
      </c>
      <c r="B2466" s="474" t="s">
        <v>1217</v>
      </c>
      <c r="C2466" s="473">
        <v>716</v>
      </c>
      <c r="D2466" s="478">
        <v>15</v>
      </c>
      <c r="E2466" s="474">
        <v>38944</v>
      </c>
      <c r="F2466" s="475" t="s">
        <v>446</v>
      </c>
      <c r="G2466" s="476">
        <v>21</v>
      </c>
      <c r="H2466" s="475" t="s">
        <v>1378</v>
      </c>
      <c r="I2466" s="487" t="s">
        <v>1379</v>
      </c>
      <c r="J2466" s="509">
        <v>342.7</v>
      </c>
    </row>
    <row r="2467" spans="1:10" ht="20.25" customHeight="1">
      <c r="A2467" s="471">
        <v>5111</v>
      </c>
      <c r="B2467" s="474" t="s">
        <v>1217</v>
      </c>
      <c r="C2467" s="473">
        <v>717</v>
      </c>
      <c r="D2467" s="478">
        <v>15</v>
      </c>
      <c r="E2467" s="474">
        <v>38944</v>
      </c>
      <c r="F2467" s="475" t="s">
        <v>446</v>
      </c>
      <c r="G2467" s="476">
        <v>21</v>
      </c>
      <c r="H2467" s="475" t="s">
        <v>1378</v>
      </c>
      <c r="I2467" s="487" t="s">
        <v>1379</v>
      </c>
      <c r="J2467" s="509">
        <v>342.7</v>
      </c>
    </row>
    <row r="2468" spans="1:10" ht="20.25" customHeight="1">
      <c r="A2468" s="471">
        <v>5111</v>
      </c>
      <c r="B2468" s="474" t="s">
        <v>1217</v>
      </c>
      <c r="C2468" s="473">
        <v>718</v>
      </c>
      <c r="D2468" s="478">
        <v>15</v>
      </c>
      <c r="E2468" s="474">
        <v>38944</v>
      </c>
      <c r="F2468" s="475" t="s">
        <v>446</v>
      </c>
      <c r="G2468" s="476">
        <v>21</v>
      </c>
      <c r="H2468" s="475" t="s">
        <v>1378</v>
      </c>
      <c r="I2468" s="487" t="s">
        <v>1379</v>
      </c>
      <c r="J2468" s="509">
        <v>342.7</v>
      </c>
    </row>
    <row r="2469" spans="1:10" ht="20.25" customHeight="1">
      <c r="A2469" s="471">
        <v>5111</v>
      </c>
      <c r="B2469" s="474" t="s">
        <v>1217</v>
      </c>
      <c r="C2469" s="473">
        <v>719</v>
      </c>
      <c r="D2469" s="478">
        <v>15</v>
      </c>
      <c r="E2469" s="474">
        <v>38944</v>
      </c>
      <c r="F2469" s="475" t="s">
        <v>446</v>
      </c>
      <c r="G2469" s="476">
        <v>21</v>
      </c>
      <c r="H2469" s="475" t="s">
        <v>1378</v>
      </c>
      <c r="I2469" s="487" t="s">
        <v>1379</v>
      </c>
      <c r="J2469" s="509">
        <v>342.7</v>
      </c>
    </row>
    <row r="2470" spans="1:10" ht="20.25" customHeight="1">
      <c r="A2470" s="471">
        <v>5111</v>
      </c>
      <c r="B2470" s="474" t="s">
        <v>1217</v>
      </c>
      <c r="C2470" s="473">
        <v>720</v>
      </c>
      <c r="D2470" s="478">
        <v>15</v>
      </c>
      <c r="E2470" s="474">
        <v>38944</v>
      </c>
      <c r="F2470" s="475" t="s">
        <v>446</v>
      </c>
      <c r="G2470" s="476">
        <v>21</v>
      </c>
      <c r="H2470" s="475" t="s">
        <v>1378</v>
      </c>
      <c r="I2470" s="487" t="s">
        <v>1379</v>
      </c>
      <c r="J2470" s="509">
        <v>342.7</v>
      </c>
    </row>
    <row r="2471" spans="1:10" ht="20.25" customHeight="1">
      <c r="A2471" s="471">
        <v>5111</v>
      </c>
      <c r="B2471" s="474" t="s">
        <v>1217</v>
      </c>
      <c r="C2471" s="473">
        <v>721</v>
      </c>
      <c r="D2471" s="478">
        <v>15</v>
      </c>
      <c r="E2471" s="474">
        <v>38944</v>
      </c>
      <c r="F2471" s="475" t="s">
        <v>446</v>
      </c>
      <c r="G2471" s="476">
        <v>21</v>
      </c>
      <c r="H2471" s="475" t="s">
        <v>1378</v>
      </c>
      <c r="I2471" s="487" t="s">
        <v>1379</v>
      </c>
      <c r="J2471" s="509">
        <v>342.7</v>
      </c>
    </row>
    <row r="2472" spans="1:10" ht="20.25" customHeight="1">
      <c r="A2472" s="471">
        <v>5111</v>
      </c>
      <c r="B2472" s="474" t="s">
        <v>1217</v>
      </c>
      <c r="C2472" s="473">
        <v>722</v>
      </c>
      <c r="D2472" s="478">
        <v>15</v>
      </c>
      <c r="E2472" s="474">
        <v>38944</v>
      </c>
      <c r="F2472" s="475" t="s">
        <v>446</v>
      </c>
      <c r="G2472" s="476">
        <v>21</v>
      </c>
      <c r="H2472" s="475" t="s">
        <v>1378</v>
      </c>
      <c r="I2472" s="487" t="s">
        <v>1379</v>
      </c>
      <c r="J2472" s="509">
        <v>342.7</v>
      </c>
    </row>
    <row r="2473" spans="1:10" ht="20.25" customHeight="1">
      <c r="A2473" s="471">
        <v>5111</v>
      </c>
      <c r="B2473" s="474" t="s">
        <v>1217</v>
      </c>
      <c r="C2473" s="473">
        <v>723</v>
      </c>
      <c r="D2473" s="478">
        <v>15</v>
      </c>
      <c r="E2473" s="474">
        <v>38944</v>
      </c>
      <c r="F2473" s="475" t="s">
        <v>446</v>
      </c>
      <c r="G2473" s="476">
        <v>21</v>
      </c>
      <c r="H2473" s="475" t="s">
        <v>1378</v>
      </c>
      <c r="I2473" s="487" t="s">
        <v>1379</v>
      </c>
      <c r="J2473" s="509">
        <v>342.7</v>
      </c>
    </row>
    <row r="2474" spans="1:10" ht="20.25" customHeight="1">
      <c r="A2474" s="471">
        <v>5111</v>
      </c>
      <c r="B2474" s="474" t="s">
        <v>1217</v>
      </c>
      <c r="C2474" s="473">
        <v>724</v>
      </c>
      <c r="D2474" s="478">
        <v>15</v>
      </c>
      <c r="E2474" s="474">
        <v>38944</v>
      </c>
      <c r="F2474" s="475" t="s">
        <v>446</v>
      </c>
      <c r="G2474" s="476">
        <v>21</v>
      </c>
      <c r="H2474" s="475" t="s">
        <v>1378</v>
      </c>
      <c r="I2474" s="487" t="s">
        <v>1379</v>
      </c>
      <c r="J2474" s="509">
        <v>342.7</v>
      </c>
    </row>
    <row r="2475" spans="1:10" ht="20.25" customHeight="1">
      <c r="A2475" s="471">
        <v>5111</v>
      </c>
      <c r="B2475" s="474" t="s">
        <v>1217</v>
      </c>
      <c r="C2475" s="473">
        <v>725</v>
      </c>
      <c r="D2475" s="478">
        <v>15</v>
      </c>
      <c r="E2475" s="474">
        <v>38944</v>
      </c>
      <c r="F2475" s="475" t="s">
        <v>446</v>
      </c>
      <c r="G2475" s="476">
        <v>21</v>
      </c>
      <c r="H2475" s="475" t="s">
        <v>1378</v>
      </c>
      <c r="I2475" s="487" t="s">
        <v>1379</v>
      </c>
      <c r="J2475" s="509">
        <v>342.7</v>
      </c>
    </row>
    <row r="2476" spans="1:10" ht="20.25" customHeight="1">
      <c r="A2476" s="471">
        <v>5111</v>
      </c>
      <c r="B2476" s="474" t="s">
        <v>1217</v>
      </c>
      <c r="C2476" s="473">
        <v>726</v>
      </c>
      <c r="D2476" s="478">
        <v>15</v>
      </c>
      <c r="E2476" s="474">
        <v>38944</v>
      </c>
      <c r="F2476" s="475" t="s">
        <v>446</v>
      </c>
      <c r="G2476" s="476">
        <v>21</v>
      </c>
      <c r="H2476" s="475" t="s">
        <v>1378</v>
      </c>
      <c r="I2476" s="487" t="s">
        <v>1379</v>
      </c>
      <c r="J2476" s="509">
        <v>342.7</v>
      </c>
    </row>
    <row r="2477" spans="1:10" ht="20.25" customHeight="1">
      <c r="A2477" s="471">
        <v>5111</v>
      </c>
      <c r="B2477" s="474" t="s">
        <v>1217</v>
      </c>
      <c r="C2477" s="473">
        <v>727</v>
      </c>
      <c r="D2477" s="478">
        <v>15</v>
      </c>
      <c r="E2477" s="474">
        <v>38944</v>
      </c>
      <c r="F2477" s="475" t="s">
        <v>446</v>
      </c>
      <c r="G2477" s="476">
        <v>21</v>
      </c>
      <c r="H2477" s="475" t="s">
        <v>1378</v>
      </c>
      <c r="I2477" s="487" t="s">
        <v>1379</v>
      </c>
      <c r="J2477" s="509">
        <v>342.7</v>
      </c>
    </row>
    <row r="2478" spans="1:10" ht="20.25" customHeight="1">
      <c r="A2478" s="471">
        <v>5111</v>
      </c>
      <c r="B2478" s="474" t="s">
        <v>1217</v>
      </c>
      <c r="C2478" s="473">
        <v>728</v>
      </c>
      <c r="D2478" s="478">
        <v>15</v>
      </c>
      <c r="E2478" s="474">
        <v>38944</v>
      </c>
      <c r="F2478" s="475" t="s">
        <v>446</v>
      </c>
      <c r="G2478" s="476">
        <v>21</v>
      </c>
      <c r="H2478" s="475" t="s">
        <v>1378</v>
      </c>
      <c r="I2478" s="487" t="s">
        <v>1379</v>
      </c>
      <c r="J2478" s="509">
        <v>342.7</v>
      </c>
    </row>
    <row r="2479" spans="1:10" ht="20.25" customHeight="1">
      <c r="A2479" s="471">
        <v>5111</v>
      </c>
      <c r="B2479" s="474" t="s">
        <v>1217</v>
      </c>
      <c r="C2479" s="473">
        <v>729</v>
      </c>
      <c r="D2479" s="478">
        <v>15</v>
      </c>
      <c r="E2479" s="474">
        <v>38944</v>
      </c>
      <c r="F2479" s="475" t="s">
        <v>446</v>
      </c>
      <c r="G2479" s="476">
        <v>21</v>
      </c>
      <c r="H2479" s="475" t="s">
        <v>1378</v>
      </c>
      <c r="I2479" s="487" t="s">
        <v>1379</v>
      </c>
      <c r="J2479" s="509">
        <v>342.7</v>
      </c>
    </row>
    <row r="2480" spans="1:10" ht="20.25" customHeight="1">
      <c r="A2480" s="471">
        <v>5151</v>
      </c>
      <c r="B2480" s="474" t="s">
        <v>1217</v>
      </c>
      <c r="C2480" s="473">
        <v>91</v>
      </c>
      <c r="D2480" s="478">
        <v>47896</v>
      </c>
      <c r="E2480" s="474">
        <v>38950</v>
      </c>
      <c r="F2480" s="475" t="s">
        <v>468</v>
      </c>
      <c r="G2480" s="476">
        <v>37</v>
      </c>
      <c r="H2480" s="475" t="s">
        <v>1380</v>
      </c>
      <c r="I2480" s="487" t="s">
        <v>1381</v>
      </c>
      <c r="J2480" s="509">
        <v>7313.3</v>
      </c>
    </row>
    <row r="2481" spans="1:10" ht="20.25" customHeight="1">
      <c r="A2481" s="471">
        <v>5151</v>
      </c>
      <c r="B2481" s="474" t="s">
        <v>1217</v>
      </c>
      <c r="C2481" s="473">
        <v>92</v>
      </c>
      <c r="D2481" s="478">
        <v>47896</v>
      </c>
      <c r="E2481" s="474">
        <v>38950</v>
      </c>
      <c r="F2481" s="475" t="s">
        <v>468</v>
      </c>
      <c r="G2481" s="476">
        <v>37</v>
      </c>
      <c r="H2481" s="475" t="s">
        <v>1380</v>
      </c>
      <c r="I2481" s="487" t="s">
        <v>1381</v>
      </c>
      <c r="J2481" s="509">
        <v>7313.3</v>
      </c>
    </row>
    <row r="2482" spans="1:10" ht="20.25" customHeight="1">
      <c r="A2482" s="471">
        <v>5651</v>
      </c>
      <c r="B2482" s="474" t="s">
        <v>1217</v>
      </c>
      <c r="C2482" s="473">
        <v>3</v>
      </c>
      <c r="D2482" s="478">
        <v>189</v>
      </c>
      <c r="E2482" s="474">
        <v>38966</v>
      </c>
      <c r="F2482" s="475" t="s">
        <v>446</v>
      </c>
      <c r="G2482" s="476">
        <v>77</v>
      </c>
      <c r="H2482" s="475" t="s">
        <v>1382</v>
      </c>
      <c r="I2482" s="487" t="s">
        <v>1383</v>
      </c>
      <c r="J2482" s="509">
        <v>5808.07</v>
      </c>
    </row>
    <row r="2483" spans="1:10" ht="20.25" customHeight="1">
      <c r="A2483" s="471">
        <v>5311</v>
      </c>
      <c r="B2483" s="474" t="s">
        <v>1217</v>
      </c>
      <c r="C2483" s="473">
        <v>398</v>
      </c>
      <c r="D2483" s="478">
        <v>3069</v>
      </c>
      <c r="E2483" s="474">
        <v>39022</v>
      </c>
      <c r="F2483" s="475" t="s">
        <v>446</v>
      </c>
      <c r="G2483" s="476">
        <v>70</v>
      </c>
      <c r="H2483" s="475" t="s">
        <v>1384</v>
      </c>
      <c r="I2483" s="487" t="s">
        <v>1385</v>
      </c>
      <c r="J2483" s="510">
        <v>299</v>
      </c>
    </row>
    <row r="2484" spans="1:10" ht="20.25" customHeight="1">
      <c r="A2484" s="471">
        <v>5311</v>
      </c>
      <c r="B2484" s="474" t="s">
        <v>1217</v>
      </c>
      <c r="C2484" s="473">
        <v>399</v>
      </c>
      <c r="D2484" s="478">
        <v>3069</v>
      </c>
      <c r="E2484" s="474">
        <v>39022</v>
      </c>
      <c r="F2484" s="475" t="s">
        <v>446</v>
      </c>
      <c r="G2484" s="476">
        <v>70</v>
      </c>
      <c r="H2484" s="475" t="s">
        <v>1384</v>
      </c>
      <c r="I2484" s="487" t="s">
        <v>1385</v>
      </c>
      <c r="J2484" s="510">
        <v>299</v>
      </c>
    </row>
    <row r="2485" spans="1:10" ht="20.25" customHeight="1">
      <c r="A2485" s="471">
        <v>5311</v>
      </c>
      <c r="B2485" s="474" t="s">
        <v>1217</v>
      </c>
      <c r="C2485" s="473">
        <v>400</v>
      </c>
      <c r="D2485" s="478">
        <v>3069</v>
      </c>
      <c r="E2485" s="474">
        <v>39022</v>
      </c>
      <c r="F2485" s="475" t="s">
        <v>446</v>
      </c>
      <c r="G2485" s="476">
        <v>70</v>
      </c>
      <c r="H2485" s="475" t="s">
        <v>1384</v>
      </c>
      <c r="I2485" s="487" t="s">
        <v>1385</v>
      </c>
      <c r="J2485" s="510">
        <v>299</v>
      </c>
    </row>
    <row r="2486" spans="1:10" ht="20.25" customHeight="1">
      <c r="A2486" s="471">
        <v>5191</v>
      </c>
      <c r="B2486" s="474" t="s">
        <v>1217</v>
      </c>
      <c r="C2486" s="473">
        <v>17</v>
      </c>
      <c r="D2486" s="478">
        <v>123</v>
      </c>
      <c r="E2486" s="474">
        <v>39038</v>
      </c>
      <c r="F2486" s="475" t="s">
        <v>468</v>
      </c>
      <c r="G2486" s="476">
        <v>50</v>
      </c>
      <c r="H2486" s="475" t="s">
        <v>1386</v>
      </c>
      <c r="I2486" s="487" t="s">
        <v>1387</v>
      </c>
      <c r="J2486" s="509">
        <v>2242.5</v>
      </c>
    </row>
    <row r="2487" spans="1:10" ht="20.25" customHeight="1">
      <c r="A2487" s="471">
        <v>5191</v>
      </c>
      <c r="B2487" s="474" t="s">
        <v>1217</v>
      </c>
      <c r="C2487" s="473">
        <v>18</v>
      </c>
      <c r="D2487" s="478">
        <v>123</v>
      </c>
      <c r="E2487" s="474">
        <v>39038</v>
      </c>
      <c r="F2487" s="475" t="s">
        <v>468</v>
      </c>
      <c r="G2487" s="476">
        <v>49</v>
      </c>
      <c r="H2487" s="475" t="s">
        <v>1388</v>
      </c>
      <c r="I2487" s="487" t="s">
        <v>1389</v>
      </c>
      <c r="J2487" s="509">
        <v>5748.85</v>
      </c>
    </row>
    <row r="2488" spans="1:10" ht="20.25" customHeight="1">
      <c r="A2488" s="471">
        <v>5111</v>
      </c>
      <c r="B2488" s="474" t="s">
        <v>1217</v>
      </c>
      <c r="C2488" s="473">
        <v>730</v>
      </c>
      <c r="D2488" s="478">
        <v>126</v>
      </c>
      <c r="E2488" s="474">
        <v>39042</v>
      </c>
      <c r="F2488" s="475" t="s">
        <v>446</v>
      </c>
      <c r="G2488" s="476">
        <v>26</v>
      </c>
      <c r="H2488" s="475" t="s">
        <v>1390</v>
      </c>
      <c r="I2488" s="487" t="s">
        <v>1379</v>
      </c>
      <c r="J2488" s="509">
        <v>378.35</v>
      </c>
    </row>
    <row r="2489" spans="1:10" ht="20.25" customHeight="1">
      <c r="A2489" s="471">
        <v>5111</v>
      </c>
      <c r="B2489" s="474" t="s">
        <v>1217</v>
      </c>
      <c r="C2489" s="473">
        <v>731</v>
      </c>
      <c r="D2489" s="478">
        <v>126</v>
      </c>
      <c r="E2489" s="474">
        <v>39042</v>
      </c>
      <c r="F2489" s="475" t="s">
        <v>446</v>
      </c>
      <c r="G2489" s="476">
        <v>26</v>
      </c>
      <c r="H2489" s="475" t="s">
        <v>1390</v>
      </c>
      <c r="I2489" s="487" t="s">
        <v>1379</v>
      </c>
      <c r="J2489" s="509">
        <v>378.35</v>
      </c>
    </row>
    <row r="2490" spans="1:10" ht="20.25" customHeight="1">
      <c r="A2490" s="471">
        <v>5111</v>
      </c>
      <c r="B2490" s="474" t="s">
        <v>1217</v>
      </c>
      <c r="C2490" s="473">
        <v>732</v>
      </c>
      <c r="D2490" s="478">
        <v>126</v>
      </c>
      <c r="E2490" s="474">
        <v>39042</v>
      </c>
      <c r="F2490" s="475" t="s">
        <v>446</v>
      </c>
      <c r="G2490" s="476">
        <v>26</v>
      </c>
      <c r="H2490" s="475" t="s">
        <v>1390</v>
      </c>
      <c r="I2490" s="487" t="s">
        <v>1379</v>
      </c>
      <c r="J2490" s="509">
        <v>378.35</v>
      </c>
    </row>
    <row r="2491" spans="1:10" ht="20.25" customHeight="1">
      <c r="A2491" s="471">
        <v>5111</v>
      </c>
      <c r="B2491" s="474" t="s">
        <v>1217</v>
      </c>
      <c r="C2491" s="473">
        <v>733</v>
      </c>
      <c r="D2491" s="478">
        <v>126</v>
      </c>
      <c r="E2491" s="474">
        <v>39042</v>
      </c>
      <c r="F2491" s="475" t="s">
        <v>446</v>
      </c>
      <c r="G2491" s="476">
        <v>26</v>
      </c>
      <c r="H2491" s="475" t="s">
        <v>1390</v>
      </c>
      <c r="I2491" s="487" t="s">
        <v>1379</v>
      </c>
      <c r="J2491" s="509">
        <v>378.35</v>
      </c>
    </row>
    <row r="2492" spans="1:10" ht="20.25" customHeight="1">
      <c r="A2492" s="471">
        <v>5111</v>
      </c>
      <c r="B2492" s="474" t="s">
        <v>1217</v>
      </c>
      <c r="C2492" s="473">
        <v>734</v>
      </c>
      <c r="D2492" s="478">
        <v>126</v>
      </c>
      <c r="E2492" s="474">
        <v>39042</v>
      </c>
      <c r="F2492" s="475" t="s">
        <v>446</v>
      </c>
      <c r="G2492" s="476">
        <v>26</v>
      </c>
      <c r="H2492" s="475" t="s">
        <v>1390</v>
      </c>
      <c r="I2492" s="487" t="s">
        <v>1379</v>
      </c>
      <c r="J2492" s="509">
        <v>378.35</v>
      </c>
    </row>
    <row r="2493" spans="1:10" ht="20.25" customHeight="1">
      <c r="A2493" s="471">
        <v>5111</v>
      </c>
      <c r="B2493" s="474" t="s">
        <v>1217</v>
      </c>
      <c r="C2493" s="473">
        <v>735</v>
      </c>
      <c r="D2493" s="478">
        <v>126</v>
      </c>
      <c r="E2493" s="474">
        <v>39042</v>
      </c>
      <c r="F2493" s="475" t="s">
        <v>446</v>
      </c>
      <c r="G2493" s="476">
        <v>26</v>
      </c>
      <c r="H2493" s="475" t="s">
        <v>1390</v>
      </c>
      <c r="I2493" s="487" t="s">
        <v>1379</v>
      </c>
      <c r="J2493" s="509">
        <v>378.35</v>
      </c>
    </row>
    <row r="2494" spans="1:10" ht="20.25" customHeight="1">
      <c r="A2494" s="471">
        <v>5111</v>
      </c>
      <c r="B2494" s="474" t="s">
        <v>1217</v>
      </c>
      <c r="C2494" s="473">
        <v>736</v>
      </c>
      <c r="D2494" s="478">
        <v>126</v>
      </c>
      <c r="E2494" s="474">
        <v>39042</v>
      </c>
      <c r="F2494" s="475" t="s">
        <v>446</v>
      </c>
      <c r="G2494" s="476">
        <v>26</v>
      </c>
      <c r="H2494" s="475" t="s">
        <v>1390</v>
      </c>
      <c r="I2494" s="487" t="s">
        <v>1379</v>
      </c>
      <c r="J2494" s="509">
        <v>378.35</v>
      </c>
    </row>
    <row r="2495" spans="1:10" ht="20.25" customHeight="1">
      <c r="A2495" s="471">
        <v>5111</v>
      </c>
      <c r="B2495" s="474" t="s">
        <v>1217</v>
      </c>
      <c r="C2495" s="473">
        <v>737</v>
      </c>
      <c r="D2495" s="478">
        <v>126</v>
      </c>
      <c r="E2495" s="474">
        <v>39042</v>
      </c>
      <c r="F2495" s="475" t="s">
        <v>446</v>
      </c>
      <c r="G2495" s="476">
        <v>26</v>
      </c>
      <c r="H2495" s="475" t="s">
        <v>1390</v>
      </c>
      <c r="I2495" s="487" t="s">
        <v>1379</v>
      </c>
      <c r="J2495" s="509">
        <v>378.35</v>
      </c>
    </row>
    <row r="2496" spans="1:10" ht="20.25" customHeight="1">
      <c r="A2496" s="471">
        <v>5111</v>
      </c>
      <c r="B2496" s="474" t="s">
        <v>1217</v>
      </c>
      <c r="C2496" s="473">
        <v>738</v>
      </c>
      <c r="D2496" s="478">
        <v>126</v>
      </c>
      <c r="E2496" s="474">
        <v>39042</v>
      </c>
      <c r="F2496" s="475" t="s">
        <v>446</v>
      </c>
      <c r="G2496" s="476">
        <v>26</v>
      </c>
      <c r="H2496" s="475" t="s">
        <v>1390</v>
      </c>
      <c r="I2496" s="487" t="s">
        <v>1379</v>
      </c>
      <c r="J2496" s="509">
        <v>378.35</v>
      </c>
    </row>
    <row r="2497" spans="1:10" ht="20.25" customHeight="1">
      <c r="A2497" s="471">
        <v>5111</v>
      </c>
      <c r="B2497" s="474" t="s">
        <v>1217</v>
      </c>
      <c r="C2497" s="473">
        <v>739</v>
      </c>
      <c r="D2497" s="478">
        <v>126</v>
      </c>
      <c r="E2497" s="474">
        <v>39042</v>
      </c>
      <c r="F2497" s="475" t="s">
        <v>446</v>
      </c>
      <c r="G2497" s="476">
        <v>26</v>
      </c>
      <c r="H2497" s="475" t="s">
        <v>1390</v>
      </c>
      <c r="I2497" s="487" t="s">
        <v>1379</v>
      </c>
      <c r="J2497" s="509">
        <v>378.35</v>
      </c>
    </row>
    <row r="2498" spans="1:10" ht="20.25" customHeight="1">
      <c r="A2498" s="471">
        <v>5111</v>
      </c>
      <c r="B2498" s="474" t="s">
        <v>1217</v>
      </c>
      <c r="C2498" s="473">
        <v>740</v>
      </c>
      <c r="D2498" s="478">
        <v>126</v>
      </c>
      <c r="E2498" s="474">
        <v>39042</v>
      </c>
      <c r="F2498" s="475" t="s">
        <v>446</v>
      </c>
      <c r="G2498" s="476">
        <v>26</v>
      </c>
      <c r="H2498" s="475" t="s">
        <v>1390</v>
      </c>
      <c r="I2498" s="487" t="s">
        <v>1379</v>
      </c>
      <c r="J2498" s="509">
        <v>378.35</v>
      </c>
    </row>
    <row r="2499" spans="1:10" ht="20.25" customHeight="1">
      <c r="A2499" s="471">
        <v>5111</v>
      </c>
      <c r="B2499" s="474" t="s">
        <v>1217</v>
      </c>
      <c r="C2499" s="473">
        <v>741</v>
      </c>
      <c r="D2499" s="478">
        <v>126</v>
      </c>
      <c r="E2499" s="474">
        <v>39042</v>
      </c>
      <c r="F2499" s="475" t="s">
        <v>446</v>
      </c>
      <c r="G2499" s="476">
        <v>26</v>
      </c>
      <c r="H2499" s="475" t="s">
        <v>1390</v>
      </c>
      <c r="I2499" s="487" t="s">
        <v>1379</v>
      </c>
      <c r="J2499" s="509">
        <v>378.35</v>
      </c>
    </row>
    <row r="2500" spans="1:10" ht="20.25" customHeight="1">
      <c r="A2500" s="471">
        <v>5111</v>
      </c>
      <c r="B2500" s="474" t="s">
        <v>1217</v>
      </c>
      <c r="C2500" s="473">
        <v>742</v>
      </c>
      <c r="D2500" s="478">
        <v>126</v>
      </c>
      <c r="E2500" s="474">
        <v>39042</v>
      </c>
      <c r="F2500" s="475" t="s">
        <v>446</v>
      </c>
      <c r="G2500" s="476">
        <v>26</v>
      </c>
      <c r="H2500" s="475" t="s">
        <v>1390</v>
      </c>
      <c r="I2500" s="487" t="s">
        <v>1379</v>
      </c>
      <c r="J2500" s="509">
        <v>378.35</v>
      </c>
    </row>
    <row r="2501" spans="1:10" ht="20.25" customHeight="1">
      <c r="A2501" s="471">
        <v>5111</v>
      </c>
      <c r="B2501" s="474" t="s">
        <v>1217</v>
      </c>
      <c r="C2501" s="473">
        <v>743</v>
      </c>
      <c r="D2501" s="478">
        <v>126</v>
      </c>
      <c r="E2501" s="474">
        <v>39042</v>
      </c>
      <c r="F2501" s="475" t="s">
        <v>446</v>
      </c>
      <c r="G2501" s="476">
        <v>26</v>
      </c>
      <c r="H2501" s="475" t="s">
        <v>1390</v>
      </c>
      <c r="I2501" s="487" t="s">
        <v>1379</v>
      </c>
      <c r="J2501" s="509">
        <v>378.35</v>
      </c>
    </row>
    <row r="2502" spans="1:10" ht="20.25" customHeight="1">
      <c r="A2502" s="471">
        <v>5111</v>
      </c>
      <c r="B2502" s="474" t="s">
        <v>1217</v>
      </c>
      <c r="C2502" s="473">
        <v>744</v>
      </c>
      <c r="D2502" s="478">
        <v>126</v>
      </c>
      <c r="E2502" s="474">
        <v>39042</v>
      </c>
      <c r="F2502" s="475" t="s">
        <v>446</v>
      </c>
      <c r="G2502" s="476">
        <v>26</v>
      </c>
      <c r="H2502" s="475" t="s">
        <v>1390</v>
      </c>
      <c r="I2502" s="487" t="s">
        <v>1379</v>
      </c>
      <c r="J2502" s="509">
        <v>378.35</v>
      </c>
    </row>
    <row r="2503" spans="1:10" ht="20.25" customHeight="1">
      <c r="A2503" s="471">
        <v>5111</v>
      </c>
      <c r="B2503" s="474" t="s">
        <v>1217</v>
      </c>
      <c r="C2503" s="473">
        <v>745</v>
      </c>
      <c r="D2503" s="478">
        <v>126</v>
      </c>
      <c r="E2503" s="474">
        <v>39042</v>
      </c>
      <c r="F2503" s="475" t="s">
        <v>446</v>
      </c>
      <c r="G2503" s="476">
        <v>26</v>
      </c>
      <c r="H2503" s="475" t="s">
        <v>1390</v>
      </c>
      <c r="I2503" s="487" t="s">
        <v>1379</v>
      </c>
      <c r="J2503" s="509">
        <v>378.35</v>
      </c>
    </row>
    <row r="2504" spans="1:10" ht="20.25" customHeight="1">
      <c r="A2504" s="471">
        <v>5111</v>
      </c>
      <c r="B2504" s="474" t="s">
        <v>1217</v>
      </c>
      <c r="C2504" s="473">
        <v>746</v>
      </c>
      <c r="D2504" s="478">
        <v>126</v>
      </c>
      <c r="E2504" s="474">
        <v>39042</v>
      </c>
      <c r="F2504" s="475" t="s">
        <v>446</v>
      </c>
      <c r="G2504" s="476">
        <v>26</v>
      </c>
      <c r="H2504" s="475" t="s">
        <v>1390</v>
      </c>
      <c r="I2504" s="487" t="s">
        <v>1379</v>
      </c>
      <c r="J2504" s="509">
        <v>378.35</v>
      </c>
    </row>
    <row r="2505" spans="1:10" ht="20.25" customHeight="1">
      <c r="A2505" s="471">
        <v>5111</v>
      </c>
      <c r="B2505" s="474" t="s">
        <v>1217</v>
      </c>
      <c r="C2505" s="473">
        <v>747</v>
      </c>
      <c r="D2505" s="478">
        <v>126</v>
      </c>
      <c r="E2505" s="474">
        <v>39042</v>
      </c>
      <c r="F2505" s="475" t="s">
        <v>446</v>
      </c>
      <c r="G2505" s="476">
        <v>26</v>
      </c>
      <c r="H2505" s="475" t="s">
        <v>1390</v>
      </c>
      <c r="I2505" s="487" t="s">
        <v>1379</v>
      </c>
      <c r="J2505" s="509">
        <v>378.35</v>
      </c>
    </row>
    <row r="2506" spans="1:10" ht="20.25" customHeight="1">
      <c r="A2506" s="471">
        <v>5111</v>
      </c>
      <c r="B2506" s="474" t="s">
        <v>1217</v>
      </c>
      <c r="C2506" s="473">
        <v>748</v>
      </c>
      <c r="D2506" s="478">
        <v>126</v>
      </c>
      <c r="E2506" s="474">
        <v>39042</v>
      </c>
      <c r="F2506" s="475" t="s">
        <v>446</v>
      </c>
      <c r="G2506" s="476">
        <v>26</v>
      </c>
      <c r="H2506" s="475" t="s">
        <v>1390</v>
      </c>
      <c r="I2506" s="487" t="s">
        <v>1379</v>
      </c>
      <c r="J2506" s="509">
        <v>378.35</v>
      </c>
    </row>
    <row r="2507" spans="1:10" ht="20.25" customHeight="1">
      <c r="A2507" s="471">
        <v>5111</v>
      </c>
      <c r="B2507" s="474" t="s">
        <v>1217</v>
      </c>
      <c r="C2507" s="473">
        <v>749</v>
      </c>
      <c r="D2507" s="478">
        <v>126</v>
      </c>
      <c r="E2507" s="474">
        <v>39042</v>
      </c>
      <c r="F2507" s="475" t="s">
        <v>446</v>
      </c>
      <c r="G2507" s="476">
        <v>26</v>
      </c>
      <c r="H2507" s="475" t="s">
        <v>1390</v>
      </c>
      <c r="I2507" s="487" t="s">
        <v>1379</v>
      </c>
      <c r="J2507" s="509">
        <v>378.35</v>
      </c>
    </row>
    <row r="2508" spans="1:10" ht="20.25" customHeight="1">
      <c r="A2508" s="471">
        <v>5111</v>
      </c>
      <c r="B2508" s="474" t="s">
        <v>1217</v>
      </c>
      <c r="C2508" s="473">
        <v>750</v>
      </c>
      <c r="D2508" s="478">
        <v>126</v>
      </c>
      <c r="E2508" s="474">
        <v>39042</v>
      </c>
      <c r="F2508" s="475" t="s">
        <v>446</v>
      </c>
      <c r="G2508" s="476">
        <v>26</v>
      </c>
      <c r="H2508" s="475" t="s">
        <v>1390</v>
      </c>
      <c r="I2508" s="487" t="s">
        <v>1379</v>
      </c>
      <c r="J2508" s="509">
        <v>378.35</v>
      </c>
    </row>
    <row r="2509" spans="1:10" ht="20.25" customHeight="1">
      <c r="A2509" s="471">
        <v>5111</v>
      </c>
      <c r="B2509" s="474" t="s">
        <v>1217</v>
      </c>
      <c r="C2509" s="473">
        <v>751</v>
      </c>
      <c r="D2509" s="478">
        <v>126</v>
      </c>
      <c r="E2509" s="474">
        <v>39042</v>
      </c>
      <c r="F2509" s="475" t="s">
        <v>446</v>
      </c>
      <c r="G2509" s="476">
        <v>26</v>
      </c>
      <c r="H2509" s="475" t="s">
        <v>1390</v>
      </c>
      <c r="I2509" s="487" t="s">
        <v>1379</v>
      </c>
      <c r="J2509" s="509">
        <v>378.35</v>
      </c>
    </row>
    <row r="2510" spans="1:10" ht="20.25" customHeight="1">
      <c r="A2510" s="471">
        <v>5111</v>
      </c>
      <c r="B2510" s="474" t="s">
        <v>1217</v>
      </c>
      <c r="C2510" s="473">
        <v>752</v>
      </c>
      <c r="D2510" s="478">
        <v>126</v>
      </c>
      <c r="E2510" s="474">
        <v>39042</v>
      </c>
      <c r="F2510" s="475" t="s">
        <v>446</v>
      </c>
      <c r="G2510" s="476">
        <v>26</v>
      </c>
      <c r="H2510" s="475" t="s">
        <v>1390</v>
      </c>
      <c r="I2510" s="487" t="s">
        <v>1379</v>
      </c>
      <c r="J2510" s="509">
        <v>378.35</v>
      </c>
    </row>
    <row r="2511" spans="1:10" ht="20.25" customHeight="1">
      <c r="A2511" s="471">
        <v>5111</v>
      </c>
      <c r="B2511" s="474" t="s">
        <v>1217</v>
      </c>
      <c r="C2511" s="473">
        <v>753</v>
      </c>
      <c r="D2511" s="478">
        <v>126</v>
      </c>
      <c r="E2511" s="474">
        <v>39042</v>
      </c>
      <c r="F2511" s="475" t="s">
        <v>446</v>
      </c>
      <c r="G2511" s="476">
        <v>26</v>
      </c>
      <c r="H2511" s="475" t="s">
        <v>1390</v>
      </c>
      <c r="I2511" s="487" t="s">
        <v>1379</v>
      </c>
      <c r="J2511" s="509">
        <v>378.35</v>
      </c>
    </row>
    <row r="2512" spans="1:10" ht="20.25" customHeight="1">
      <c r="A2512" s="471">
        <v>5111</v>
      </c>
      <c r="B2512" s="474" t="s">
        <v>1217</v>
      </c>
      <c r="C2512" s="473">
        <v>754</v>
      </c>
      <c r="D2512" s="478">
        <v>126</v>
      </c>
      <c r="E2512" s="474">
        <v>39042</v>
      </c>
      <c r="F2512" s="475" t="s">
        <v>446</v>
      </c>
      <c r="G2512" s="476">
        <v>26</v>
      </c>
      <c r="H2512" s="475" t="s">
        <v>1390</v>
      </c>
      <c r="I2512" s="487" t="s">
        <v>1379</v>
      </c>
      <c r="J2512" s="509">
        <v>378.35</v>
      </c>
    </row>
    <row r="2513" spans="1:10" ht="20.25" customHeight="1">
      <c r="A2513" s="471">
        <v>5111</v>
      </c>
      <c r="B2513" s="474" t="s">
        <v>1217</v>
      </c>
      <c r="C2513" s="473">
        <v>755</v>
      </c>
      <c r="D2513" s="478">
        <v>126</v>
      </c>
      <c r="E2513" s="474">
        <v>39042</v>
      </c>
      <c r="F2513" s="475" t="s">
        <v>446</v>
      </c>
      <c r="G2513" s="476">
        <v>26</v>
      </c>
      <c r="H2513" s="475" t="s">
        <v>1390</v>
      </c>
      <c r="I2513" s="487" t="s">
        <v>1379</v>
      </c>
      <c r="J2513" s="509">
        <v>378.35</v>
      </c>
    </row>
    <row r="2514" spans="1:10" ht="20.25" customHeight="1">
      <c r="A2514" s="471">
        <v>5111</v>
      </c>
      <c r="B2514" s="474" t="s">
        <v>1217</v>
      </c>
      <c r="C2514" s="473">
        <v>756</v>
      </c>
      <c r="D2514" s="478">
        <v>126</v>
      </c>
      <c r="E2514" s="474">
        <v>39042</v>
      </c>
      <c r="F2514" s="475" t="s">
        <v>446</v>
      </c>
      <c r="G2514" s="476">
        <v>26</v>
      </c>
      <c r="H2514" s="475" t="s">
        <v>1390</v>
      </c>
      <c r="I2514" s="487" t="s">
        <v>1379</v>
      </c>
      <c r="J2514" s="509">
        <v>378.35</v>
      </c>
    </row>
    <row r="2515" spans="1:10" ht="20.25" customHeight="1">
      <c r="A2515" s="471">
        <v>5111</v>
      </c>
      <c r="B2515" s="474" t="s">
        <v>1217</v>
      </c>
      <c r="C2515" s="473">
        <v>757</v>
      </c>
      <c r="D2515" s="478">
        <v>126</v>
      </c>
      <c r="E2515" s="474">
        <v>39042</v>
      </c>
      <c r="F2515" s="475" t="s">
        <v>446</v>
      </c>
      <c r="G2515" s="476">
        <v>26</v>
      </c>
      <c r="H2515" s="475" t="s">
        <v>1390</v>
      </c>
      <c r="I2515" s="487" t="s">
        <v>1379</v>
      </c>
      <c r="J2515" s="509">
        <v>378.35</v>
      </c>
    </row>
    <row r="2516" spans="1:10" ht="20.25" customHeight="1">
      <c r="A2516" s="471">
        <v>5111</v>
      </c>
      <c r="B2516" s="474" t="s">
        <v>1217</v>
      </c>
      <c r="C2516" s="473">
        <v>758</v>
      </c>
      <c r="D2516" s="478">
        <v>126</v>
      </c>
      <c r="E2516" s="474">
        <v>39042</v>
      </c>
      <c r="F2516" s="475" t="s">
        <v>446</v>
      </c>
      <c r="G2516" s="476">
        <v>26</v>
      </c>
      <c r="H2516" s="475" t="s">
        <v>1390</v>
      </c>
      <c r="I2516" s="487" t="s">
        <v>1379</v>
      </c>
      <c r="J2516" s="509">
        <v>378.35</v>
      </c>
    </row>
    <row r="2517" spans="1:10" ht="20.25" customHeight="1">
      <c r="A2517" s="471">
        <v>5111</v>
      </c>
      <c r="B2517" s="474" t="s">
        <v>1217</v>
      </c>
      <c r="C2517" s="473">
        <v>759</v>
      </c>
      <c r="D2517" s="478">
        <v>126</v>
      </c>
      <c r="E2517" s="474">
        <v>39042</v>
      </c>
      <c r="F2517" s="475" t="s">
        <v>446</v>
      </c>
      <c r="G2517" s="476">
        <v>26</v>
      </c>
      <c r="H2517" s="475" t="s">
        <v>1390</v>
      </c>
      <c r="I2517" s="487" t="s">
        <v>1379</v>
      </c>
      <c r="J2517" s="509">
        <v>378.35</v>
      </c>
    </row>
    <row r="2518" spans="1:10" ht="20.25" customHeight="1">
      <c r="A2518" s="471">
        <v>5111</v>
      </c>
      <c r="B2518" s="474" t="s">
        <v>1217</v>
      </c>
      <c r="C2518" s="473">
        <v>760</v>
      </c>
      <c r="D2518" s="478">
        <v>126</v>
      </c>
      <c r="E2518" s="474">
        <v>39042</v>
      </c>
      <c r="F2518" s="475" t="s">
        <v>446</v>
      </c>
      <c r="G2518" s="476">
        <v>25</v>
      </c>
      <c r="H2518" s="475" t="s">
        <v>1391</v>
      </c>
      <c r="I2518" s="487" t="s">
        <v>1392</v>
      </c>
      <c r="J2518" s="509">
        <v>937.90549999999996</v>
      </c>
    </row>
    <row r="2519" spans="1:10" ht="20.25" customHeight="1">
      <c r="A2519" s="471">
        <v>5111</v>
      </c>
      <c r="B2519" s="474" t="s">
        <v>1217</v>
      </c>
      <c r="C2519" s="473">
        <v>761</v>
      </c>
      <c r="D2519" s="478">
        <v>126</v>
      </c>
      <c r="E2519" s="474">
        <v>39042</v>
      </c>
      <c r="F2519" s="475" t="s">
        <v>446</v>
      </c>
      <c r="G2519" s="476">
        <v>25</v>
      </c>
      <c r="H2519" s="475" t="s">
        <v>1391</v>
      </c>
      <c r="I2519" s="487" t="s">
        <v>1392</v>
      </c>
      <c r="J2519" s="509">
        <v>937.90549999999996</v>
      </c>
    </row>
    <row r="2520" spans="1:10" ht="20.25" customHeight="1">
      <c r="A2520" s="471">
        <v>5111</v>
      </c>
      <c r="B2520" s="474" t="s">
        <v>1217</v>
      </c>
      <c r="C2520" s="473">
        <v>762</v>
      </c>
      <c r="D2520" s="478">
        <v>126</v>
      </c>
      <c r="E2520" s="474">
        <v>39042</v>
      </c>
      <c r="F2520" s="475" t="s">
        <v>446</v>
      </c>
      <c r="G2520" s="476">
        <v>25</v>
      </c>
      <c r="H2520" s="475" t="s">
        <v>1391</v>
      </c>
      <c r="I2520" s="487" t="s">
        <v>1392</v>
      </c>
      <c r="J2520" s="509">
        <v>937.90549999999996</v>
      </c>
    </row>
    <row r="2521" spans="1:10" ht="20.25" customHeight="1">
      <c r="A2521" s="471">
        <v>5111</v>
      </c>
      <c r="B2521" s="474" t="s">
        <v>1217</v>
      </c>
      <c r="C2521" s="473">
        <v>763</v>
      </c>
      <c r="D2521" s="478">
        <v>126</v>
      </c>
      <c r="E2521" s="474">
        <v>39042</v>
      </c>
      <c r="F2521" s="475" t="s">
        <v>446</v>
      </c>
      <c r="G2521" s="476">
        <v>25</v>
      </c>
      <c r="H2521" s="475" t="s">
        <v>1391</v>
      </c>
      <c r="I2521" s="487" t="s">
        <v>1392</v>
      </c>
      <c r="J2521" s="509">
        <v>937.90549999999996</v>
      </c>
    </row>
    <row r="2522" spans="1:10" ht="20.25" customHeight="1">
      <c r="A2522" s="471">
        <v>5111</v>
      </c>
      <c r="B2522" s="474" t="s">
        <v>1217</v>
      </c>
      <c r="C2522" s="473">
        <v>764</v>
      </c>
      <c r="D2522" s="478">
        <v>126</v>
      </c>
      <c r="E2522" s="474">
        <v>39042</v>
      </c>
      <c r="F2522" s="475" t="s">
        <v>446</v>
      </c>
      <c r="G2522" s="476">
        <v>25</v>
      </c>
      <c r="H2522" s="475" t="s">
        <v>1391</v>
      </c>
      <c r="I2522" s="487" t="s">
        <v>1392</v>
      </c>
      <c r="J2522" s="509">
        <v>937.90549999999996</v>
      </c>
    </row>
    <row r="2523" spans="1:10" ht="20.25" customHeight="1">
      <c r="A2523" s="471">
        <v>5111</v>
      </c>
      <c r="B2523" s="474" t="s">
        <v>1217</v>
      </c>
      <c r="C2523" s="473">
        <v>765</v>
      </c>
      <c r="D2523" s="478">
        <v>126</v>
      </c>
      <c r="E2523" s="474">
        <v>39042</v>
      </c>
      <c r="F2523" s="475" t="s">
        <v>446</v>
      </c>
      <c r="G2523" s="476">
        <v>25</v>
      </c>
      <c r="H2523" s="475" t="s">
        <v>1391</v>
      </c>
      <c r="I2523" s="487" t="s">
        <v>1392</v>
      </c>
      <c r="J2523" s="509">
        <v>937.90549999999996</v>
      </c>
    </row>
    <row r="2524" spans="1:10" ht="20.25" customHeight="1">
      <c r="A2524" s="471">
        <v>5111</v>
      </c>
      <c r="B2524" s="474" t="s">
        <v>1217</v>
      </c>
      <c r="C2524" s="473">
        <v>766</v>
      </c>
      <c r="D2524" s="478">
        <v>126</v>
      </c>
      <c r="E2524" s="474">
        <v>39042</v>
      </c>
      <c r="F2524" s="475" t="s">
        <v>446</v>
      </c>
      <c r="G2524" s="476">
        <v>25</v>
      </c>
      <c r="H2524" s="475" t="s">
        <v>1391</v>
      </c>
      <c r="I2524" s="487" t="s">
        <v>1392</v>
      </c>
      <c r="J2524" s="509">
        <v>937.90549999999996</v>
      </c>
    </row>
    <row r="2525" spans="1:10" ht="20.25" customHeight="1">
      <c r="A2525" s="471">
        <v>5111</v>
      </c>
      <c r="B2525" s="474" t="s">
        <v>1217</v>
      </c>
      <c r="C2525" s="473">
        <v>767</v>
      </c>
      <c r="D2525" s="478">
        <v>126</v>
      </c>
      <c r="E2525" s="474">
        <v>39042</v>
      </c>
      <c r="F2525" s="475" t="s">
        <v>446</v>
      </c>
      <c r="G2525" s="476">
        <v>25</v>
      </c>
      <c r="H2525" s="475" t="s">
        <v>1391</v>
      </c>
      <c r="I2525" s="487" t="s">
        <v>1392</v>
      </c>
      <c r="J2525" s="509">
        <v>937.90549999999996</v>
      </c>
    </row>
    <row r="2526" spans="1:10" ht="20.25" customHeight="1">
      <c r="A2526" s="471">
        <v>5111</v>
      </c>
      <c r="B2526" s="474" t="s">
        <v>1217</v>
      </c>
      <c r="C2526" s="473">
        <v>768</v>
      </c>
      <c r="D2526" s="478">
        <v>126</v>
      </c>
      <c r="E2526" s="474">
        <v>39042</v>
      </c>
      <c r="F2526" s="475" t="s">
        <v>446</v>
      </c>
      <c r="G2526" s="476">
        <v>25</v>
      </c>
      <c r="H2526" s="475" t="s">
        <v>1391</v>
      </c>
      <c r="I2526" s="487" t="s">
        <v>1392</v>
      </c>
      <c r="J2526" s="509">
        <v>937.90549999999996</v>
      </c>
    </row>
    <row r="2527" spans="1:10" ht="20.25" customHeight="1">
      <c r="A2527" s="471">
        <v>5111</v>
      </c>
      <c r="B2527" s="474" t="s">
        <v>1217</v>
      </c>
      <c r="C2527" s="473">
        <v>769</v>
      </c>
      <c r="D2527" s="478">
        <v>126</v>
      </c>
      <c r="E2527" s="474">
        <v>39042</v>
      </c>
      <c r="F2527" s="475" t="s">
        <v>446</v>
      </c>
      <c r="G2527" s="476">
        <v>25</v>
      </c>
      <c r="H2527" s="475" t="s">
        <v>1391</v>
      </c>
      <c r="I2527" s="487" t="s">
        <v>1392</v>
      </c>
      <c r="J2527" s="509">
        <v>937.90549999999996</v>
      </c>
    </row>
    <row r="2528" spans="1:10" ht="20.25" customHeight="1">
      <c r="A2528" s="471">
        <v>5111</v>
      </c>
      <c r="B2528" s="474" t="s">
        <v>1217</v>
      </c>
      <c r="C2528" s="473">
        <v>770</v>
      </c>
      <c r="D2528" s="478">
        <v>126</v>
      </c>
      <c r="E2528" s="474">
        <v>39042</v>
      </c>
      <c r="F2528" s="475" t="s">
        <v>446</v>
      </c>
      <c r="G2528" s="476">
        <v>25</v>
      </c>
      <c r="H2528" s="475" t="s">
        <v>1391</v>
      </c>
      <c r="I2528" s="487" t="s">
        <v>1392</v>
      </c>
      <c r="J2528" s="509">
        <v>937.90549999999996</v>
      </c>
    </row>
    <row r="2529" spans="1:10" ht="20.25" customHeight="1">
      <c r="A2529" s="471">
        <v>5111</v>
      </c>
      <c r="B2529" s="474" t="s">
        <v>1217</v>
      </c>
      <c r="C2529" s="473">
        <v>771</v>
      </c>
      <c r="D2529" s="478">
        <v>126</v>
      </c>
      <c r="E2529" s="474">
        <v>39042</v>
      </c>
      <c r="F2529" s="475" t="s">
        <v>446</v>
      </c>
      <c r="G2529" s="476">
        <v>25</v>
      </c>
      <c r="H2529" s="475" t="s">
        <v>1391</v>
      </c>
      <c r="I2529" s="487" t="s">
        <v>1392</v>
      </c>
      <c r="J2529" s="509">
        <v>937.90549999999996</v>
      </c>
    </row>
    <row r="2530" spans="1:10" ht="20.25" customHeight="1">
      <c r="A2530" s="471">
        <v>5111</v>
      </c>
      <c r="B2530" s="474" t="s">
        <v>1217</v>
      </c>
      <c r="C2530" s="473">
        <v>772</v>
      </c>
      <c r="D2530" s="478">
        <v>126</v>
      </c>
      <c r="E2530" s="474">
        <v>39042</v>
      </c>
      <c r="F2530" s="475" t="s">
        <v>446</v>
      </c>
      <c r="G2530" s="476">
        <v>25</v>
      </c>
      <c r="H2530" s="475" t="s">
        <v>1391</v>
      </c>
      <c r="I2530" s="487" t="s">
        <v>1392</v>
      </c>
      <c r="J2530" s="509">
        <v>937.90549999999996</v>
      </c>
    </row>
    <row r="2531" spans="1:10" ht="20.25" customHeight="1">
      <c r="A2531" s="471">
        <v>5111</v>
      </c>
      <c r="B2531" s="474" t="s">
        <v>1217</v>
      </c>
      <c r="C2531" s="473">
        <v>773</v>
      </c>
      <c r="D2531" s="478">
        <v>126</v>
      </c>
      <c r="E2531" s="474">
        <v>39042</v>
      </c>
      <c r="F2531" s="475" t="s">
        <v>446</v>
      </c>
      <c r="G2531" s="476">
        <v>25</v>
      </c>
      <c r="H2531" s="475" t="s">
        <v>1391</v>
      </c>
      <c r="I2531" s="487" t="s">
        <v>1392</v>
      </c>
      <c r="J2531" s="509">
        <v>937.90549999999996</v>
      </c>
    </row>
    <row r="2532" spans="1:10" ht="20.25" customHeight="1">
      <c r="A2532" s="471">
        <v>5111</v>
      </c>
      <c r="B2532" s="474" t="s">
        <v>1217</v>
      </c>
      <c r="C2532" s="473">
        <v>774</v>
      </c>
      <c r="D2532" s="478">
        <v>126</v>
      </c>
      <c r="E2532" s="474">
        <v>39042</v>
      </c>
      <c r="F2532" s="475" t="s">
        <v>446</v>
      </c>
      <c r="G2532" s="476">
        <v>25</v>
      </c>
      <c r="H2532" s="475" t="s">
        <v>1391</v>
      </c>
      <c r="I2532" s="487" t="s">
        <v>1392</v>
      </c>
      <c r="J2532" s="509">
        <v>937.90549999999996</v>
      </c>
    </row>
    <row r="2533" spans="1:10" ht="20.25" customHeight="1">
      <c r="A2533" s="471">
        <v>5111</v>
      </c>
      <c r="B2533" s="474" t="s">
        <v>1217</v>
      </c>
      <c r="C2533" s="473">
        <v>775</v>
      </c>
      <c r="D2533" s="478">
        <v>126</v>
      </c>
      <c r="E2533" s="474">
        <v>39042</v>
      </c>
      <c r="F2533" s="475" t="s">
        <v>446</v>
      </c>
      <c r="G2533" s="476">
        <v>25</v>
      </c>
      <c r="H2533" s="475" t="s">
        <v>1391</v>
      </c>
      <c r="I2533" s="487" t="s">
        <v>1392</v>
      </c>
      <c r="J2533" s="509">
        <v>937.90549999999996</v>
      </c>
    </row>
    <row r="2534" spans="1:10" ht="20.25" customHeight="1">
      <c r="A2534" s="471">
        <v>5111</v>
      </c>
      <c r="B2534" s="474" t="s">
        <v>1217</v>
      </c>
      <c r="C2534" s="473">
        <v>776</v>
      </c>
      <c r="D2534" s="478">
        <v>126</v>
      </c>
      <c r="E2534" s="474">
        <v>39042</v>
      </c>
      <c r="F2534" s="475" t="s">
        <v>446</v>
      </c>
      <c r="G2534" s="476">
        <v>25</v>
      </c>
      <c r="H2534" s="475" t="s">
        <v>1391</v>
      </c>
      <c r="I2534" s="487" t="s">
        <v>1392</v>
      </c>
      <c r="J2534" s="509">
        <v>937.90549999999996</v>
      </c>
    </row>
    <row r="2535" spans="1:10" ht="20.25" customHeight="1">
      <c r="A2535" s="471">
        <v>5111</v>
      </c>
      <c r="B2535" s="474" t="s">
        <v>1217</v>
      </c>
      <c r="C2535" s="473">
        <v>777</v>
      </c>
      <c r="D2535" s="478">
        <v>126</v>
      </c>
      <c r="E2535" s="474">
        <v>39042</v>
      </c>
      <c r="F2535" s="475" t="s">
        <v>446</v>
      </c>
      <c r="G2535" s="476">
        <v>25</v>
      </c>
      <c r="H2535" s="475" t="s">
        <v>1391</v>
      </c>
      <c r="I2535" s="487" t="s">
        <v>1392</v>
      </c>
      <c r="J2535" s="509">
        <v>937.90549999999996</v>
      </c>
    </row>
    <row r="2536" spans="1:10" ht="20.25" customHeight="1">
      <c r="A2536" s="471">
        <v>5111</v>
      </c>
      <c r="B2536" s="474" t="s">
        <v>1217</v>
      </c>
      <c r="C2536" s="473">
        <v>778</v>
      </c>
      <c r="D2536" s="478">
        <v>126</v>
      </c>
      <c r="E2536" s="474">
        <v>39042</v>
      </c>
      <c r="F2536" s="475" t="s">
        <v>446</v>
      </c>
      <c r="G2536" s="476">
        <v>25</v>
      </c>
      <c r="H2536" s="475" t="s">
        <v>1391</v>
      </c>
      <c r="I2536" s="487" t="s">
        <v>1392</v>
      </c>
      <c r="J2536" s="509">
        <v>937.90549999999996</v>
      </c>
    </row>
    <row r="2537" spans="1:10" ht="20.25" customHeight="1">
      <c r="A2537" s="471">
        <v>5111</v>
      </c>
      <c r="B2537" s="474" t="s">
        <v>1217</v>
      </c>
      <c r="C2537" s="473">
        <v>779</v>
      </c>
      <c r="D2537" s="478">
        <v>126</v>
      </c>
      <c r="E2537" s="474">
        <v>39042</v>
      </c>
      <c r="F2537" s="475" t="s">
        <v>446</v>
      </c>
      <c r="G2537" s="476">
        <v>25</v>
      </c>
      <c r="H2537" s="475" t="s">
        <v>1391</v>
      </c>
      <c r="I2537" s="487" t="s">
        <v>1392</v>
      </c>
      <c r="J2537" s="509">
        <v>937.90549999999996</v>
      </c>
    </row>
    <row r="2538" spans="1:10" ht="20.25" customHeight="1">
      <c r="A2538" s="471">
        <v>5111</v>
      </c>
      <c r="B2538" s="474" t="s">
        <v>1217</v>
      </c>
      <c r="C2538" s="473">
        <v>780</v>
      </c>
      <c r="D2538" s="478">
        <v>126</v>
      </c>
      <c r="E2538" s="474">
        <v>39042</v>
      </c>
      <c r="F2538" s="475" t="s">
        <v>446</v>
      </c>
      <c r="G2538" s="476">
        <v>23</v>
      </c>
      <c r="H2538" s="475" t="s">
        <v>1393</v>
      </c>
      <c r="I2538" s="487" t="s">
        <v>1394</v>
      </c>
      <c r="J2538" s="509">
        <v>1945.4664</v>
      </c>
    </row>
    <row r="2539" spans="1:10" ht="20.25" customHeight="1">
      <c r="A2539" s="471">
        <v>5111</v>
      </c>
      <c r="B2539" s="474" t="s">
        <v>1217</v>
      </c>
      <c r="C2539" s="473">
        <v>781</v>
      </c>
      <c r="D2539" s="478">
        <v>126</v>
      </c>
      <c r="E2539" s="474">
        <v>39042</v>
      </c>
      <c r="F2539" s="475" t="s">
        <v>446</v>
      </c>
      <c r="G2539" s="476">
        <v>23</v>
      </c>
      <c r="H2539" s="475" t="s">
        <v>1393</v>
      </c>
      <c r="I2539" s="487" t="s">
        <v>1394</v>
      </c>
      <c r="J2539" s="509">
        <v>1945.4664</v>
      </c>
    </row>
    <row r="2540" spans="1:10" ht="20.25" customHeight="1">
      <c r="A2540" s="471">
        <v>5111</v>
      </c>
      <c r="B2540" s="474" t="s">
        <v>1217</v>
      </c>
      <c r="C2540" s="473">
        <v>782</v>
      </c>
      <c r="D2540" s="478">
        <v>126</v>
      </c>
      <c r="E2540" s="474">
        <v>39042</v>
      </c>
      <c r="F2540" s="475" t="s">
        <v>446</v>
      </c>
      <c r="G2540" s="476">
        <v>23</v>
      </c>
      <c r="H2540" s="475" t="s">
        <v>1393</v>
      </c>
      <c r="I2540" s="487" t="s">
        <v>1394</v>
      </c>
      <c r="J2540" s="509">
        <v>1945.4664</v>
      </c>
    </row>
    <row r="2541" spans="1:10" ht="20.25" customHeight="1">
      <c r="A2541" s="471">
        <v>5111</v>
      </c>
      <c r="B2541" s="474" t="s">
        <v>1217</v>
      </c>
      <c r="C2541" s="473">
        <v>783</v>
      </c>
      <c r="D2541" s="478">
        <v>126</v>
      </c>
      <c r="E2541" s="474">
        <v>39042</v>
      </c>
      <c r="F2541" s="475" t="s">
        <v>446</v>
      </c>
      <c r="G2541" s="476">
        <v>23</v>
      </c>
      <c r="H2541" s="475" t="s">
        <v>1393</v>
      </c>
      <c r="I2541" s="487" t="s">
        <v>1394</v>
      </c>
      <c r="J2541" s="509">
        <v>1945.4664</v>
      </c>
    </row>
    <row r="2542" spans="1:10" ht="20.25" customHeight="1">
      <c r="A2542" s="471">
        <v>5111</v>
      </c>
      <c r="B2542" s="474" t="s">
        <v>1217</v>
      </c>
      <c r="C2542" s="473">
        <v>784</v>
      </c>
      <c r="D2542" s="478">
        <v>126</v>
      </c>
      <c r="E2542" s="474">
        <v>39042</v>
      </c>
      <c r="F2542" s="475" t="s">
        <v>446</v>
      </c>
      <c r="G2542" s="476">
        <v>23</v>
      </c>
      <c r="H2542" s="475" t="s">
        <v>1393</v>
      </c>
      <c r="I2542" s="487" t="s">
        <v>1394</v>
      </c>
      <c r="J2542" s="509">
        <v>1945.4664</v>
      </c>
    </row>
    <row r="2543" spans="1:10" ht="20.25" customHeight="1">
      <c r="A2543" s="471">
        <v>5111</v>
      </c>
      <c r="B2543" s="474" t="s">
        <v>1217</v>
      </c>
      <c r="C2543" s="473">
        <v>785</v>
      </c>
      <c r="D2543" s="478">
        <v>126</v>
      </c>
      <c r="E2543" s="474">
        <v>39042</v>
      </c>
      <c r="F2543" s="475" t="s">
        <v>446</v>
      </c>
      <c r="G2543" s="476">
        <v>23</v>
      </c>
      <c r="H2543" s="475" t="s">
        <v>1393</v>
      </c>
      <c r="I2543" s="487" t="s">
        <v>1394</v>
      </c>
      <c r="J2543" s="509">
        <v>1945.4664</v>
      </c>
    </row>
    <row r="2544" spans="1:10" ht="20.25" customHeight="1">
      <c r="A2544" s="471">
        <v>5111</v>
      </c>
      <c r="B2544" s="474" t="s">
        <v>1217</v>
      </c>
      <c r="C2544" s="473">
        <v>786</v>
      </c>
      <c r="D2544" s="478">
        <v>126</v>
      </c>
      <c r="E2544" s="474">
        <v>39042</v>
      </c>
      <c r="F2544" s="475" t="s">
        <v>446</v>
      </c>
      <c r="G2544" s="476">
        <v>23</v>
      </c>
      <c r="H2544" s="475" t="s">
        <v>1393</v>
      </c>
      <c r="I2544" s="487" t="s">
        <v>1394</v>
      </c>
      <c r="J2544" s="509">
        <v>1945.4664</v>
      </c>
    </row>
    <row r="2545" spans="1:10" ht="20.25" customHeight="1">
      <c r="A2545" s="471">
        <v>5111</v>
      </c>
      <c r="B2545" s="474" t="s">
        <v>1217</v>
      </c>
      <c r="C2545" s="473">
        <v>787</v>
      </c>
      <c r="D2545" s="478">
        <v>126</v>
      </c>
      <c r="E2545" s="474">
        <v>39042</v>
      </c>
      <c r="F2545" s="475" t="s">
        <v>446</v>
      </c>
      <c r="G2545" s="476">
        <v>23</v>
      </c>
      <c r="H2545" s="475" t="s">
        <v>1393</v>
      </c>
      <c r="I2545" s="487" t="s">
        <v>1394</v>
      </c>
      <c r="J2545" s="509">
        <v>1945.4664</v>
      </c>
    </row>
    <row r="2546" spans="1:10" ht="20.25" customHeight="1">
      <c r="A2546" s="471">
        <v>5111</v>
      </c>
      <c r="B2546" s="474" t="s">
        <v>1217</v>
      </c>
      <c r="C2546" s="473">
        <v>788</v>
      </c>
      <c r="D2546" s="478">
        <v>126</v>
      </c>
      <c r="E2546" s="474">
        <v>39042</v>
      </c>
      <c r="F2546" s="475" t="s">
        <v>446</v>
      </c>
      <c r="G2546" s="476">
        <v>23</v>
      </c>
      <c r="H2546" s="475" t="s">
        <v>1393</v>
      </c>
      <c r="I2546" s="487" t="s">
        <v>1394</v>
      </c>
      <c r="J2546" s="509">
        <v>1945.4664</v>
      </c>
    </row>
    <row r="2547" spans="1:10" ht="20.25" customHeight="1">
      <c r="A2547" s="471">
        <v>5111</v>
      </c>
      <c r="B2547" s="474" t="s">
        <v>1217</v>
      </c>
      <c r="C2547" s="473">
        <v>789</v>
      </c>
      <c r="D2547" s="478">
        <v>126</v>
      </c>
      <c r="E2547" s="474">
        <v>39042</v>
      </c>
      <c r="F2547" s="475" t="s">
        <v>446</v>
      </c>
      <c r="G2547" s="476">
        <v>23</v>
      </c>
      <c r="H2547" s="475" t="s">
        <v>1393</v>
      </c>
      <c r="I2547" s="487" t="s">
        <v>1394</v>
      </c>
      <c r="J2547" s="509">
        <v>1945.4664</v>
      </c>
    </row>
    <row r="2548" spans="1:10" ht="20.25" customHeight="1">
      <c r="A2548" s="471">
        <v>5111</v>
      </c>
      <c r="B2548" s="474" t="s">
        <v>1217</v>
      </c>
      <c r="C2548" s="473">
        <v>790</v>
      </c>
      <c r="D2548" s="478">
        <v>126</v>
      </c>
      <c r="E2548" s="474">
        <v>39042</v>
      </c>
      <c r="F2548" s="475" t="s">
        <v>446</v>
      </c>
      <c r="G2548" s="476">
        <v>23</v>
      </c>
      <c r="H2548" s="475" t="s">
        <v>1393</v>
      </c>
      <c r="I2548" s="487" t="s">
        <v>1394</v>
      </c>
      <c r="J2548" s="509">
        <v>1945.4664</v>
      </c>
    </row>
    <row r="2549" spans="1:10" ht="20.25" customHeight="1">
      <c r="A2549" s="471">
        <v>5111</v>
      </c>
      <c r="B2549" s="474" t="s">
        <v>1217</v>
      </c>
      <c r="C2549" s="473">
        <v>791</v>
      </c>
      <c r="D2549" s="478">
        <v>126</v>
      </c>
      <c r="E2549" s="474">
        <v>39042</v>
      </c>
      <c r="F2549" s="475" t="s">
        <v>446</v>
      </c>
      <c r="G2549" s="476">
        <v>23</v>
      </c>
      <c r="H2549" s="475" t="s">
        <v>1393</v>
      </c>
      <c r="I2549" s="487" t="s">
        <v>1394</v>
      </c>
      <c r="J2549" s="509">
        <v>1945.4664</v>
      </c>
    </row>
    <row r="2550" spans="1:10" ht="20.25" customHeight="1">
      <c r="A2550" s="471">
        <v>5111</v>
      </c>
      <c r="B2550" s="474" t="s">
        <v>1217</v>
      </c>
      <c r="C2550" s="473">
        <v>792</v>
      </c>
      <c r="D2550" s="478">
        <v>126</v>
      </c>
      <c r="E2550" s="474">
        <v>39042</v>
      </c>
      <c r="F2550" s="475" t="s">
        <v>446</v>
      </c>
      <c r="G2550" s="476">
        <v>23</v>
      </c>
      <c r="H2550" s="475" t="s">
        <v>1393</v>
      </c>
      <c r="I2550" s="487" t="s">
        <v>1394</v>
      </c>
      <c r="J2550" s="509">
        <v>1945.4664</v>
      </c>
    </row>
    <row r="2551" spans="1:10" ht="20.25" customHeight="1">
      <c r="A2551" s="471">
        <v>5111</v>
      </c>
      <c r="B2551" s="474" t="s">
        <v>1217</v>
      </c>
      <c r="C2551" s="473">
        <v>793</v>
      </c>
      <c r="D2551" s="478">
        <v>126</v>
      </c>
      <c r="E2551" s="474">
        <v>39042</v>
      </c>
      <c r="F2551" s="475" t="s">
        <v>446</v>
      </c>
      <c r="G2551" s="476">
        <v>23</v>
      </c>
      <c r="H2551" s="475" t="s">
        <v>1393</v>
      </c>
      <c r="I2551" s="487" t="s">
        <v>1394</v>
      </c>
      <c r="J2551" s="509">
        <v>1945.4664</v>
      </c>
    </row>
    <row r="2552" spans="1:10" ht="20.25" customHeight="1">
      <c r="A2552" s="471">
        <v>5111</v>
      </c>
      <c r="B2552" s="474" t="s">
        <v>1217</v>
      </c>
      <c r="C2552" s="473">
        <v>794</v>
      </c>
      <c r="D2552" s="478">
        <v>126</v>
      </c>
      <c r="E2552" s="474">
        <v>39042</v>
      </c>
      <c r="F2552" s="475" t="s">
        <v>446</v>
      </c>
      <c r="G2552" s="476">
        <v>23</v>
      </c>
      <c r="H2552" s="475" t="s">
        <v>1393</v>
      </c>
      <c r="I2552" s="487" t="s">
        <v>1394</v>
      </c>
      <c r="J2552" s="509">
        <v>1945.4664</v>
      </c>
    </row>
    <row r="2553" spans="1:10" ht="20.25" customHeight="1">
      <c r="A2553" s="471">
        <v>5111</v>
      </c>
      <c r="B2553" s="474" t="s">
        <v>1217</v>
      </c>
      <c r="C2553" s="473">
        <v>795</v>
      </c>
      <c r="D2553" s="478">
        <v>126</v>
      </c>
      <c r="E2553" s="474">
        <v>39042</v>
      </c>
      <c r="F2553" s="475" t="s">
        <v>446</v>
      </c>
      <c r="G2553" s="476">
        <v>23</v>
      </c>
      <c r="H2553" s="475" t="s">
        <v>1393</v>
      </c>
      <c r="I2553" s="487" t="s">
        <v>1394</v>
      </c>
      <c r="J2553" s="509">
        <v>1945.4664</v>
      </c>
    </row>
    <row r="2554" spans="1:10" ht="20.25" customHeight="1">
      <c r="A2554" s="471">
        <v>5111</v>
      </c>
      <c r="B2554" s="474" t="s">
        <v>1217</v>
      </c>
      <c r="C2554" s="473">
        <v>796</v>
      </c>
      <c r="D2554" s="478">
        <v>126</v>
      </c>
      <c r="E2554" s="474">
        <v>39042</v>
      </c>
      <c r="F2554" s="475" t="s">
        <v>446</v>
      </c>
      <c r="G2554" s="476">
        <v>23</v>
      </c>
      <c r="H2554" s="475" t="s">
        <v>1393</v>
      </c>
      <c r="I2554" s="487" t="s">
        <v>1394</v>
      </c>
      <c r="J2554" s="509">
        <v>1945.4664</v>
      </c>
    </row>
    <row r="2555" spans="1:10" ht="20.25" customHeight="1">
      <c r="A2555" s="471">
        <v>5111</v>
      </c>
      <c r="B2555" s="474" t="s">
        <v>1217</v>
      </c>
      <c r="C2555" s="473">
        <v>797</v>
      </c>
      <c r="D2555" s="478">
        <v>126</v>
      </c>
      <c r="E2555" s="474">
        <v>39042</v>
      </c>
      <c r="F2555" s="475" t="s">
        <v>446</v>
      </c>
      <c r="G2555" s="476">
        <v>23</v>
      </c>
      <c r="H2555" s="475" t="s">
        <v>1393</v>
      </c>
      <c r="I2555" s="487" t="s">
        <v>1394</v>
      </c>
      <c r="J2555" s="509">
        <v>1945.4664</v>
      </c>
    </row>
    <row r="2556" spans="1:10" ht="20.25" customHeight="1">
      <c r="A2556" s="471">
        <v>5111</v>
      </c>
      <c r="B2556" s="474" t="s">
        <v>1217</v>
      </c>
      <c r="C2556" s="473">
        <v>798</v>
      </c>
      <c r="D2556" s="478">
        <v>126</v>
      </c>
      <c r="E2556" s="474">
        <v>39042</v>
      </c>
      <c r="F2556" s="475" t="s">
        <v>446</v>
      </c>
      <c r="G2556" s="476">
        <v>23</v>
      </c>
      <c r="H2556" s="475" t="s">
        <v>1393</v>
      </c>
      <c r="I2556" s="487" t="s">
        <v>1394</v>
      </c>
      <c r="J2556" s="509">
        <v>1945.4664</v>
      </c>
    </row>
    <row r="2557" spans="1:10" ht="20.25" customHeight="1">
      <c r="A2557" s="471">
        <v>5111</v>
      </c>
      <c r="B2557" s="474" t="s">
        <v>1217</v>
      </c>
      <c r="C2557" s="473">
        <v>799</v>
      </c>
      <c r="D2557" s="478">
        <v>126</v>
      </c>
      <c r="E2557" s="474">
        <v>39042</v>
      </c>
      <c r="F2557" s="475" t="s">
        <v>446</v>
      </c>
      <c r="G2557" s="476">
        <v>23</v>
      </c>
      <c r="H2557" s="475" t="s">
        <v>1393</v>
      </c>
      <c r="I2557" s="487" t="s">
        <v>1394</v>
      </c>
      <c r="J2557" s="509">
        <v>1945.4664</v>
      </c>
    </row>
    <row r="2558" spans="1:10" ht="20.25" customHeight="1">
      <c r="A2558" s="471">
        <v>5111</v>
      </c>
      <c r="B2558" s="474" t="s">
        <v>1217</v>
      </c>
      <c r="C2558" s="473">
        <v>800</v>
      </c>
      <c r="D2558" s="478">
        <v>126</v>
      </c>
      <c r="E2558" s="474">
        <v>39042</v>
      </c>
      <c r="F2558" s="475" t="s">
        <v>446</v>
      </c>
      <c r="G2558" s="476">
        <v>23</v>
      </c>
      <c r="H2558" s="475" t="s">
        <v>1393</v>
      </c>
      <c r="I2558" s="487" t="s">
        <v>1394</v>
      </c>
      <c r="J2558" s="509">
        <v>1945.4664</v>
      </c>
    </row>
    <row r="2559" spans="1:10" ht="20.25" customHeight="1">
      <c r="A2559" s="471">
        <v>5111</v>
      </c>
      <c r="B2559" s="474" t="s">
        <v>1217</v>
      </c>
      <c r="C2559" s="473">
        <v>801</v>
      </c>
      <c r="D2559" s="478">
        <v>126</v>
      </c>
      <c r="E2559" s="474">
        <v>39042</v>
      </c>
      <c r="F2559" s="475" t="s">
        <v>446</v>
      </c>
      <c r="G2559" s="476">
        <v>23</v>
      </c>
      <c r="H2559" s="475" t="s">
        <v>1393</v>
      </c>
      <c r="I2559" s="487" t="s">
        <v>1394</v>
      </c>
      <c r="J2559" s="509">
        <v>1945.4664</v>
      </c>
    </row>
    <row r="2560" spans="1:10" ht="20.25" customHeight="1">
      <c r="A2560" s="471">
        <v>5111</v>
      </c>
      <c r="B2560" s="474" t="s">
        <v>1217</v>
      </c>
      <c r="C2560" s="473">
        <v>802</v>
      </c>
      <c r="D2560" s="478">
        <v>126</v>
      </c>
      <c r="E2560" s="474">
        <v>39042</v>
      </c>
      <c r="F2560" s="475" t="s">
        <v>446</v>
      </c>
      <c r="G2560" s="476">
        <v>23</v>
      </c>
      <c r="H2560" s="475" t="s">
        <v>1393</v>
      </c>
      <c r="I2560" s="487" t="s">
        <v>1394</v>
      </c>
      <c r="J2560" s="509">
        <v>1945.4664</v>
      </c>
    </row>
    <row r="2561" spans="1:10" ht="20.25" customHeight="1">
      <c r="A2561" s="471">
        <v>5111</v>
      </c>
      <c r="B2561" s="474" t="s">
        <v>1217</v>
      </c>
      <c r="C2561" s="473">
        <v>803</v>
      </c>
      <c r="D2561" s="478">
        <v>126</v>
      </c>
      <c r="E2561" s="474">
        <v>39042</v>
      </c>
      <c r="F2561" s="475" t="s">
        <v>446</v>
      </c>
      <c r="G2561" s="476">
        <v>23</v>
      </c>
      <c r="H2561" s="475" t="s">
        <v>1393</v>
      </c>
      <c r="I2561" s="487" t="s">
        <v>1394</v>
      </c>
      <c r="J2561" s="509">
        <v>1945.4664</v>
      </c>
    </row>
    <row r="2562" spans="1:10" ht="20.25" customHeight="1">
      <c r="A2562" s="471">
        <v>5111</v>
      </c>
      <c r="B2562" s="474" t="s">
        <v>1217</v>
      </c>
      <c r="C2562" s="473">
        <v>804</v>
      </c>
      <c r="D2562" s="478">
        <v>126</v>
      </c>
      <c r="E2562" s="474">
        <v>39042</v>
      </c>
      <c r="F2562" s="475" t="s">
        <v>446</v>
      </c>
      <c r="G2562" s="476">
        <v>23</v>
      </c>
      <c r="H2562" s="475" t="s">
        <v>1393</v>
      </c>
      <c r="I2562" s="487" t="s">
        <v>1394</v>
      </c>
      <c r="J2562" s="509">
        <v>1945.4664</v>
      </c>
    </row>
    <row r="2563" spans="1:10" ht="20.25" customHeight="1">
      <c r="A2563" s="471">
        <v>5111</v>
      </c>
      <c r="B2563" s="474" t="s">
        <v>1217</v>
      </c>
      <c r="C2563" s="473">
        <v>805</v>
      </c>
      <c r="D2563" s="478">
        <v>126</v>
      </c>
      <c r="E2563" s="474">
        <v>39042</v>
      </c>
      <c r="F2563" s="475" t="s">
        <v>446</v>
      </c>
      <c r="G2563" s="476">
        <v>23</v>
      </c>
      <c r="H2563" s="475" t="s">
        <v>1393</v>
      </c>
      <c r="I2563" s="487" t="s">
        <v>1394</v>
      </c>
      <c r="J2563" s="509">
        <v>1945.4664</v>
      </c>
    </row>
    <row r="2564" spans="1:10" ht="20.25" customHeight="1">
      <c r="A2564" s="471">
        <v>5111</v>
      </c>
      <c r="B2564" s="474" t="s">
        <v>1217</v>
      </c>
      <c r="C2564" s="473">
        <v>806</v>
      </c>
      <c r="D2564" s="478">
        <v>126</v>
      </c>
      <c r="E2564" s="474">
        <v>39042</v>
      </c>
      <c r="F2564" s="475" t="s">
        <v>446</v>
      </c>
      <c r="G2564" s="476">
        <v>23</v>
      </c>
      <c r="H2564" s="475" t="s">
        <v>1393</v>
      </c>
      <c r="I2564" s="487" t="s">
        <v>1394</v>
      </c>
      <c r="J2564" s="509">
        <v>1945.4664</v>
      </c>
    </row>
    <row r="2565" spans="1:10" ht="20.25" customHeight="1">
      <c r="A2565" s="471">
        <v>5111</v>
      </c>
      <c r="B2565" s="474" t="s">
        <v>1217</v>
      </c>
      <c r="C2565" s="473">
        <v>807</v>
      </c>
      <c r="D2565" s="478">
        <v>126</v>
      </c>
      <c r="E2565" s="474">
        <v>39042</v>
      </c>
      <c r="F2565" s="475" t="s">
        <v>446</v>
      </c>
      <c r="G2565" s="476">
        <v>23</v>
      </c>
      <c r="H2565" s="475" t="s">
        <v>1393</v>
      </c>
      <c r="I2565" s="487" t="s">
        <v>1394</v>
      </c>
      <c r="J2565" s="509">
        <v>1945.4664</v>
      </c>
    </row>
    <row r="2566" spans="1:10" ht="20.25" customHeight="1">
      <c r="A2566" s="471">
        <v>5111</v>
      </c>
      <c r="B2566" s="474" t="s">
        <v>1217</v>
      </c>
      <c r="C2566" s="473">
        <v>808</v>
      </c>
      <c r="D2566" s="478">
        <v>126</v>
      </c>
      <c r="E2566" s="474">
        <v>39042</v>
      </c>
      <c r="F2566" s="475" t="s">
        <v>446</v>
      </c>
      <c r="G2566" s="476">
        <v>23</v>
      </c>
      <c r="H2566" s="475" t="s">
        <v>1393</v>
      </c>
      <c r="I2566" s="487" t="s">
        <v>1394</v>
      </c>
      <c r="J2566" s="509">
        <v>1945.4664</v>
      </c>
    </row>
    <row r="2567" spans="1:10" ht="20.25" customHeight="1">
      <c r="A2567" s="471">
        <v>5111</v>
      </c>
      <c r="B2567" s="474" t="s">
        <v>1217</v>
      </c>
      <c r="C2567" s="473">
        <v>809</v>
      </c>
      <c r="D2567" s="478">
        <v>126</v>
      </c>
      <c r="E2567" s="474">
        <v>39042</v>
      </c>
      <c r="F2567" s="475" t="s">
        <v>446</v>
      </c>
      <c r="G2567" s="476">
        <v>23</v>
      </c>
      <c r="H2567" s="475" t="s">
        <v>1393</v>
      </c>
      <c r="I2567" s="487" t="s">
        <v>1394</v>
      </c>
      <c r="J2567" s="509">
        <v>1945.4664</v>
      </c>
    </row>
    <row r="2568" spans="1:10" ht="20.25" customHeight="1">
      <c r="A2568" s="471">
        <v>5111</v>
      </c>
      <c r="B2568" s="474" t="s">
        <v>1217</v>
      </c>
      <c r="C2568" s="473">
        <v>810</v>
      </c>
      <c r="D2568" s="478">
        <v>126</v>
      </c>
      <c r="E2568" s="474">
        <v>39042</v>
      </c>
      <c r="F2568" s="475" t="s">
        <v>446</v>
      </c>
      <c r="G2568" s="476">
        <v>23</v>
      </c>
      <c r="H2568" s="475" t="s">
        <v>1393</v>
      </c>
      <c r="I2568" s="487" t="s">
        <v>1394</v>
      </c>
      <c r="J2568" s="509">
        <v>1945.4664</v>
      </c>
    </row>
    <row r="2569" spans="1:10" ht="20.25" customHeight="1">
      <c r="A2569" s="471">
        <v>5111</v>
      </c>
      <c r="B2569" s="474" t="s">
        <v>1217</v>
      </c>
      <c r="C2569" s="473">
        <v>811</v>
      </c>
      <c r="D2569" s="478">
        <v>126</v>
      </c>
      <c r="E2569" s="474">
        <v>39042</v>
      </c>
      <c r="F2569" s="475" t="s">
        <v>446</v>
      </c>
      <c r="G2569" s="476">
        <v>23</v>
      </c>
      <c r="H2569" s="475" t="s">
        <v>1393</v>
      </c>
      <c r="I2569" s="487" t="s">
        <v>1394</v>
      </c>
      <c r="J2569" s="509">
        <v>1945.4664</v>
      </c>
    </row>
    <row r="2570" spans="1:10" ht="20.25" customHeight="1">
      <c r="A2570" s="471">
        <v>5111</v>
      </c>
      <c r="B2570" s="474" t="s">
        <v>1217</v>
      </c>
      <c r="C2570" s="473">
        <v>812</v>
      </c>
      <c r="D2570" s="478">
        <v>126</v>
      </c>
      <c r="E2570" s="474">
        <v>39042</v>
      </c>
      <c r="F2570" s="475" t="s">
        <v>446</v>
      </c>
      <c r="G2570" s="476">
        <v>23</v>
      </c>
      <c r="H2570" s="475" t="s">
        <v>1393</v>
      </c>
      <c r="I2570" s="487" t="s">
        <v>1394</v>
      </c>
      <c r="J2570" s="509">
        <v>1945.4664</v>
      </c>
    </row>
    <row r="2571" spans="1:10" ht="20.25" customHeight="1">
      <c r="A2571" s="471">
        <v>5111</v>
      </c>
      <c r="B2571" s="474" t="s">
        <v>1217</v>
      </c>
      <c r="C2571" s="473">
        <v>813</v>
      </c>
      <c r="D2571" s="478">
        <v>126</v>
      </c>
      <c r="E2571" s="474">
        <v>39042</v>
      </c>
      <c r="F2571" s="475" t="s">
        <v>446</v>
      </c>
      <c r="G2571" s="476">
        <v>23</v>
      </c>
      <c r="H2571" s="475" t="s">
        <v>1393</v>
      </c>
      <c r="I2571" s="487" t="s">
        <v>1394</v>
      </c>
      <c r="J2571" s="509">
        <v>1945.4664</v>
      </c>
    </row>
    <row r="2572" spans="1:10" ht="20.25" customHeight="1">
      <c r="A2572" s="471">
        <v>5111</v>
      </c>
      <c r="B2572" s="474" t="s">
        <v>1217</v>
      </c>
      <c r="C2572" s="473">
        <v>814</v>
      </c>
      <c r="D2572" s="478">
        <v>126</v>
      </c>
      <c r="E2572" s="474">
        <v>39042</v>
      </c>
      <c r="F2572" s="475" t="s">
        <v>446</v>
      </c>
      <c r="G2572" s="476">
        <v>23</v>
      </c>
      <c r="H2572" s="475" t="s">
        <v>1393</v>
      </c>
      <c r="I2572" s="487" t="s">
        <v>1394</v>
      </c>
      <c r="J2572" s="509">
        <v>1945.4664</v>
      </c>
    </row>
    <row r="2573" spans="1:10" ht="20.25" customHeight="1">
      <c r="A2573" s="471">
        <v>5111</v>
      </c>
      <c r="B2573" s="474" t="s">
        <v>1217</v>
      </c>
      <c r="C2573" s="473">
        <v>815</v>
      </c>
      <c r="D2573" s="478">
        <v>126</v>
      </c>
      <c r="E2573" s="474">
        <v>39042</v>
      </c>
      <c r="F2573" s="475" t="s">
        <v>446</v>
      </c>
      <c r="G2573" s="476">
        <v>23</v>
      </c>
      <c r="H2573" s="475" t="s">
        <v>1393</v>
      </c>
      <c r="I2573" s="487" t="s">
        <v>1394</v>
      </c>
      <c r="J2573" s="509">
        <v>1945.4664</v>
      </c>
    </row>
    <row r="2574" spans="1:10" ht="20.25" customHeight="1">
      <c r="A2574" s="471">
        <v>5111</v>
      </c>
      <c r="B2574" s="474" t="s">
        <v>1217</v>
      </c>
      <c r="C2574" s="473">
        <v>816</v>
      </c>
      <c r="D2574" s="478">
        <v>126</v>
      </c>
      <c r="E2574" s="474">
        <v>39042</v>
      </c>
      <c r="F2574" s="475" t="s">
        <v>446</v>
      </c>
      <c r="G2574" s="476">
        <v>23</v>
      </c>
      <c r="H2574" s="475" t="s">
        <v>1393</v>
      </c>
      <c r="I2574" s="487" t="s">
        <v>1394</v>
      </c>
      <c r="J2574" s="509">
        <v>1945.4664</v>
      </c>
    </row>
    <row r="2575" spans="1:10" ht="20.25" customHeight="1">
      <c r="A2575" s="471">
        <v>5111</v>
      </c>
      <c r="B2575" s="474" t="s">
        <v>1217</v>
      </c>
      <c r="C2575" s="473">
        <v>817</v>
      </c>
      <c r="D2575" s="478">
        <v>126</v>
      </c>
      <c r="E2575" s="474">
        <v>39042</v>
      </c>
      <c r="F2575" s="475" t="s">
        <v>446</v>
      </c>
      <c r="G2575" s="476">
        <v>23</v>
      </c>
      <c r="H2575" s="475" t="s">
        <v>1393</v>
      </c>
      <c r="I2575" s="487" t="s">
        <v>1394</v>
      </c>
      <c r="J2575" s="509">
        <v>1945.4664</v>
      </c>
    </row>
    <row r="2576" spans="1:10" ht="20.25" customHeight="1">
      <c r="A2576" s="471">
        <v>5111</v>
      </c>
      <c r="B2576" s="474" t="s">
        <v>1217</v>
      </c>
      <c r="C2576" s="473">
        <v>818</v>
      </c>
      <c r="D2576" s="478">
        <v>126</v>
      </c>
      <c r="E2576" s="474">
        <v>39042</v>
      </c>
      <c r="F2576" s="475" t="s">
        <v>446</v>
      </c>
      <c r="G2576" s="476">
        <v>23</v>
      </c>
      <c r="H2576" s="475" t="s">
        <v>1393</v>
      </c>
      <c r="I2576" s="487" t="s">
        <v>1394</v>
      </c>
      <c r="J2576" s="509">
        <v>1945.4664</v>
      </c>
    </row>
    <row r="2577" spans="1:10" ht="20.25" customHeight="1">
      <c r="A2577" s="471">
        <v>5111</v>
      </c>
      <c r="B2577" s="474" t="s">
        <v>1217</v>
      </c>
      <c r="C2577" s="473">
        <v>819</v>
      </c>
      <c r="D2577" s="478">
        <v>126</v>
      </c>
      <c r="E2577" s="474">
        <v>39042</v>
      </c>
      <c r="F2577" s="475" t="s">
        <v>446</v>
      </c>
      <c r="G2577" s="476">
        <v>23</v>
      </c>
      <c r="H2577" s="475" t="s">
        <v>1393</v>
      </c>
      <c r="I2577" s="487" t="s">
        <v>1394</v>
      </c>
      <c r="J2577" s="509">
        <v>1945.4664</v>
      </c>
    </row>
    <row r="2578" spans="1:10" ht="20.25" customHeight="1">
      <c r="A2578" s="471">
        <v>5111</v>
      </c>
      <c r="B2578" s="474" t="s">
        <v>1217</v>
      </c>
      <c r="C2578" s="473">
        <v>820</v>
      </c>
      <c r="D2578" s="478">
        <v>126</v>
      </c>
      <c r="E2578" s="474">
        <v>39042</v>
      </c>
      <c r="F2578" s="475" t="s">
        <v>446</v>
      </c>
      <c r="G2578" s="476">
        <v>23</v>
      </c>
      <c r="H2578" s="475" t="s">
        <v>1393</v>
      </c>
      <c r="I2578" s="487" t="s">
        <v>1394</v>
      </c>
      <c r="J2578" s="509">
        <v>1945.4664</v>
      </c>
    </row>
    <row r="2579" spans="1:10" ht="20.25" customHeight="1">
      <c r="A2579" s="471">
        <v>5111</v>
      </c>
      <c r="B2579" s="474" t="s">
        <v>1217</v>
      </c>
      <c r="C2579" s="473">
        <v>821</v>
      </c>
      <c r="D2579" s="478">
        <v>126</v>
      </c>
      <c r="E2579" s="474">
        <v>39042</v>
      </c>
      <c r="F2579" s="475" t="s">
        <v>446</v>
      </c>
      <c r="G2579" s="476">
        <v>23</v>
      </c>
      <c r="H2579" s="475" t="s">
        <v>1393</v>
      </c>
      <c r="I2579" s="487" t="s">
        <v>1394</v>
      </c>
      <c r="J2579" s="509">
        <v>1945.4664</v>
      </c>
    </row>
    <row r="2580" spans="1:10" ht="20.25" customHeight="1">
      <c r="A2580" s="471">
        <v>5111</v>
      </c>
      <c r="B2580" s="474" t="s">
        <v>1217</v>
      </c>
      <c r="C2580" s="473">
        <v>822</v>
      </c>
      <c r="D2580" s="478">
        <v>126</v>
      </c>
      <c r="E2580" s="474">
        <v>39042</v>
      </c>
      <c r="F2580" s="475" t="s">
        <v>446</v>
      </c>
      <c r="G2580" s="476">
        <v>23</v>
      </c>
      <c r="H2580" s="475" t="s">
        <v>1393</v>
      </c>
      <c r="I2580" s="487" t="s">
        <v>1394</v>
      </c>
      <c r="J2580" s="509">
        <v>1945.4664</v>
      </c>
    </row>
    <row r="2581" spans="1:10" ht="20.25" customHeight="1">
      <c r="A2581" s="471">
        <v>5111</v>
      </c>
      <c r="B2581" s="474" t="s">
        <v>1217</v>
      </c>
      <c r="C2581" s="473">
        <v>823</v>
      </c>
      <c r="D2581" s="478">
        <v>126</v>
      </c>
      <c r="E2581" s="474">
        <v>39042</v>
      </c>
      <c r="F2581" s="475" t="s">
        <v>446</v>
      </c>
      <c r="G2581" s="476">
        <v>23</v>
      </c>
      <c r="H2581" s="475" t="s">
        <v>1393</v>
      </c>
      <c r="I2581" s="487" t="s">
        <v>1394</v>
      </c>
      <c r="J2581" s="509">
        <v>1945.4664</v>
      </c>
    </row>
    <row r="2582" spans="1:10" ht="20.25" customHeight="1">
      <c r="A2582" s="471">
        <v>5111</v>
      </c>
      <c r="B2582" s="474" t="s">
        <v>1217</v>
      </c>
      <c r="C2582" s="473">
        <v>824</v>
      </c>
      <c r="D2582" s="478">
        <v>126</v>
      </c>
      <c r="E2582" s="474">
        <v>39042</v>
      </c>
      <c r="F2582" s="475" t="s">
        <v>446</v>
      </c>
      <c r="G2582" s="476">
        <v>23</v>
      </c>
      <c r="H2582" s="475" t="s">
        <v>1393</v>
      </c>
      <c r="I2582" s="487" t="s">
        <v>1394</v>
      </c>
      <c r="J2582" s="509">
        <v>1945.4664</v>
      </c>
    </row>
    <row r="2583" spans="1:10" ht="20.25" customHeight="1">
      <c r="A2583" s="471">
        <v>5111</v>
      </c>
      <c r="B2583" s="474" t="s">
        <v>1217</v>
      </c>
      <c r="C2583" s="473">
        <v>825</v>
      </c>
      <c r="D2583" s="478">
        <v>126</v>
      </c>
      <c r="E2583" s="474">
        <v>39042</v>
      </c>
      <c r="F2583" s="475" t="s">
        <v>446</v>
      </c>
      <c r="G2583" s="476">
        <v>23</v>
      </c>
      <c r="H2583" s="475" t="s">
        <v>1393</v>
      </c>
      <c r="I2583" s="487" t="s">
        <v>1394</v>
      </c>
      <c r="J2583" s="509">
        <v>1945.4664</v>
      </c>
    </row>
    <row r="2584" spans="1:10" ht="20.25" customHeight="1">
      <c r="A2584" s="471">
        <v>5111</v>
      </c>
      <c r="B2584" s="474" t="s">
        <v>1217</v>
      </c>
      <c r="C2584" s="473">
        <v>826</v>
      </c>
      <c r="D2584" s="478">
        <v>126</v>
      </c>
      <c r="E2584" s="474">
        <v>39042</v>
      </c>
      <c r="F2584" s="475" t="s">
        <v>446</v>
      </c>
      <c r="G2584" s="476">
        <v>23</v>
      </c>
      <c r="H2584" s="475" t="s">
        <v>1393</v>
      </c>
      <c r="I2584" s="487" t="s">
        <v>1394</v>
      </c>
      <c r="J2584" s="509">
        <v>1945.4664</v>
      </c>
    </row>
    <row r="2585" spans="1:10" ht="20.25" customHeight="1">
      <c r="A2585" s="471">
        <v>5111</v>
      </c>
      <c r="B2585" s="474" t="s">
        <v>1217</v>
      </c>
      <c r="C2585" s="473">
        <v>827</v>
      </c>
      <c r="D2585" s="478">
        <v>126</v>
      </c>
      <c r="E2585" s="474">
        <v>39042</v>
      </c>
      <c r="F2585" s="475" t="s">
        <v>446</v>
      </c>
      <c r="G2585" s="476">
        <v>23</v>
      </c>
      <c r="H2585" s="475" t="s">
        <v>1393</v>
      </c>
      <c r="I2585" s="487" t="s">
        <v>1394</v>
      </c>
      <c r="J2585" s="509">
        <v>1945.4664</v>
      </c>
    </row>
    <row r="2586" spans="1:10" ht="20.25" customHeight="1">
      <c r="A2586" s="471">
        <v>5111</v>
      </c>
      <c r="B2586" s="474" t="s">
        <v>1217</v>
      </c>
      <c r="C2586" s="473">
        <v>828</v>
      </c>
      <c r="D2586" s="478">
        <v>126</v>
      </c>
      <c r="E2586" s="474">
        <v>39042</v>
      </c>
      <c r="F2586" s="475" t="s">
        <v>446</v>
      </c>
      <c r="G2586" s="476">
        <v>23</v>
      </c>
      <c r="H2586" s="475" t="s">
        <v>1393</v>
      </c>
      <c r="I2586" s="487" t="s">
        <v>1394</v>
      </c>
      <c r="J2586" s="509">
        <v>1945.4664</v>
      </c>
    </row>
    <row r="2587" spans="1:10" ht="20.25" customHeight="1">
      <c r="A2587" s="471">
        <v>5111</v>
      </c>
      <c r="B2587" s="474" t="s">
        <v>1217</v>
      </c>
      <c r="C2587" s="473">
        <v>829</v>
      </c>
      <c r="D2587" s="478">
        <v>126</v>
      </c>
      <c r="E2587" s="474">
        <v>39042</v>
      </c>
      <c r="F2587" s="475" t="s">
        <v>446</v>
      </c>
      <c r="G2587" s="476">
        <v>23</v>
      </c>
      <c r="H2587" s="475" t="s">
        <v>1393</v>
      </c>
      <c r="I2587" s="487" t="s">
        <v>1394</v>
      </c>
      <c r="J2587" s="509">
        <v>1945.4664</v>
      </c>
    </row>
    <row r="2588" spans="1:10" ht="20.25" customHeight="1">
      <c r="A2588" s="471">
        <v>5111</v>
      </c>
      <c r="B2588" s="474" t="s">
        <v>1217</v>
      </c>
      <c r="C2588" s="473" t="s">
        <v>1395</v>
      </c>
      <c r="D2588" s="478">
        <v>126</v>
      </c>
      <c r="E2588" s="474">
        <v>39042</v>
      </c>
      <c r="F2588" s="475" t="s">
        <v>446</v>
      </c>
      <c r="G2588" s="476">
        <v>24</v>
      </c>
      <c r="H2588" s="475" t="s">
        <v>1396</v>
      </c>
      <c r="I2588" s="487" t="s">
        <v>1397</v>
      </c>
      <c r="J2588" s="509">
        <v>59685</v>
      </c>
    </row>
    <row r="2589" spans="1:10" ht="20.25" customHeight="1">
      <c r="A2589" s="471">
        <v>5111</v>
      </c>
      <c r="B2589" s="474" t="s">
        <v>1217</v>
      </c>
      <c r="C2589" s="473" t="s">
        <v>1398</v>
      </c>
      <c r="D2589" s="478">
        <v>126</v>
      </c>
      <c r="E2589" s="474">
        <v>39042</v>
      </c>
      <c r="F2589" s="475" t="s">
        <v>446</v>
      </c>
      <c r="G2589" s="476">
        <v>24</v>
      </c>
      <c r="H2589" s="475" t="s">
        <v>1396</v>
      </c>
      <c r="I2589" s="487" t="s">
        <v>1397</v>
      </c>
      <c r="J2589" s="509">
        <v>0</v>
      </c>
    </row>
    <row r="2590" spans="1:10" ht="20.25" customHeight="1">
      <c r="A2590" s="471">
        <v>5111</v>
      </c>
      <c r="B2590" s="474" t="s">
        <v>1217</v>
      </c>
      <c r="C2590" s="473" t="s">
        <v>1399</v>
      </c>
      <c r="D2590" s="478">
        <v>126</v>
      </c>
      <c r="E2590" s="474">
        <v>39042</v>
      </c>
      <c r="F2590" s="475" t="s">
        <v>446</v>
      </c>
      <c r="G2590" s="476">
        <v>24</v>
      </c>
      <c r="H2590" s="475" t="s">
        <v>1396</v>
      </c>
      <c r="I2590" s="487" t="s">
        <v>1397</v>
      </c>
      <c r="J2590" s="509">
        <v>0</v>
      </c>
    </row>
    <row r="2591" spans="1:10" ht="20.25" customHeight="1">
      <c r="A2591" s="471">
        <v>5191</v>
      </c>
      <c r="B2591" s="474" t="s">
        <v>1217</v>
      </c>
      <c r="C2591" s="473">
        <v>19</v>
      </c>
      <c r="D2591" s="478" t="s">
        <v>1400</v>
      </c>
      <c r="E2591" s="474">
        <v>39049</v>
      </c>
      <c r="F2591" s="475" t="s">
        <v>468</v>
      </c>
      <c r="G2591" s="476">
        <v>51</v>
      </c>
      <c r="H2591" s="475" t="s">
        <v>1401</v>
      </c>
      <c r="I2591" s="487" t="s">
        <v>1402</v>
      </c>
      <c r="J2591" s="509">
        <v>73398.75</v>
      </c>
    </row>
    <row r="2592" spans="1:10" ht="20.25" customHeight="1">
      <c r="A2592" s="471">
        <v>5151</v>
      </c>
      <c r="B2592" s="474" t="s">
        <v>1217</v>
      </c>
      <c r="C2592" s="473">
        <v>93</v>
      </c>
      <c r="D2592" s="478">
        <v>49286</v>
      </c>
      <c r="E2592" s="474">
        <v>39050</v>
      </c>
      <c r="F2592" s="475" t="s">
        <v>468</v>
      </c>
      <c r="G2592" s="476">
        <v>39</v>
      </c>
      <c r="H2592" s="475" t="s">
        <v>1403</v>
      </c>
      <c r="I2592" s="487" t="s">
        <v>1404</v>
      </c>
      <c r="J2592" s="509">
        <v>24104.799999999999</v>
      </c>
    </row>
    <row r="2593" spans="1:10" ht="20.25" customHeight="1">
      <c r="A2593" s="471">
        <v>5151</v>
      </c>
      <c r="B2593" s="474" t="s">
        <v>1217</v>
      </c>
      <c r="C2593" s="473">
        <v>94</v>
      </c>
      <c r="D2593" s="478">
        <v>49286</v>
      </c>
      <c r="E2593" s="474">
        <v>39050</v>
      </c>
      <c r="F2593" s="475" t="s">
        <v>468</v>
      </c>
      <c r="G2593" s="476">
        <v>39</v>
      </c>
      <c r="H2593" s="475" t="s">
        <v>1403</v>
      </c>
      <c r="I2593" s="487" t="s">
        <v>1404</v>
      </c>
      <c r="J2593" s="509">
        <v>24104.799999999999</v>
      </c>
    </row>
    <row r="2594" spans="1:10" ht="20.25" customHeight="1">
      <c r="A2594" s="471">
        <v>5151</v>
      </c>
      <c r="B2594" s="474" t="s">
        <v>1217</v>
      </c>
      <c r="C2594" s="473">
        <v>95</v>
      </c>
      <c r="D2594" s="478">
        <v>49286</v>
      </c>
      <c r="E2594" s="474">
        <v>39050</v>
      </c>
      <c r="F2594" s="475" t="s">
        <v>468</v>
      </c>
      <c r="G2594" s="476">
        <v>38</v>
      </c>
      <c r="H2594" s="475" t="s">
        <v>1405</v>
      </c>
      <c r="I2594" s="487" t="s">
        <v>1406</v>
      </c>
      <c r="J2594" s="509">
        <v>67505</v>
      </c>
    </row>
    <row r="2595" spans="1:10" ht="20.25" customHeight="1">
      <c r="A2595" s="471">
        <v>5311</v>
      </c>
      <c r="B2595" s="474" t="s">
        <v>1217</v>
      </c>
      <c r="C2595" s="473">
        <v>1</v>
      </c>
      <c r="D2595" s="478">
        <v>17578</v>
      </c>
      <c r="E2595" s="474">
        <v>39057</v>
      </c>
      <c r="F2595" s="475" t="s">
        <v>446</v>
      </c>
      <c r="G2595" s="476">
        <v>71</v>
      </c>
      <c r="H2595" s="475" t="s">
        <v>1407</v>
      </c>
      <c r="I2595" s="487" t="s">
        <v>1408</v>
      </c>
      <c r="J2595" s="509">
        <v>62093.1</v>
      </c>
    </row>
    <row r="2596" spans="1:10" ht="20.25" customHeight="1">
      <c r="A2596" s="471">
        <v>5151</v>
      </c>
      <c r="B2596" s="474" t="s">
        <v>1217</v>
      </c>
      <c r="C2596" s="473">
        <v>96</v>
      </c>
      <c r="D2596" s="478">
        <v>1867</v>
      </c>
      <c r="E2596" s="474">
        <v>39069</v>
      </c>
      <c r="F2596" s="475" t="s">
        <v>468</v>
      </c>
      <c r="G2596" s="476">
        <v>40</v>
      </c>
      <c r="H2596" s="475" t="s">
        <v>1409</v>
      </c>
      <c r="I2596" s="487" t="s">
        <v>1410</v>
      </c>
      <c r="J2596" s="509">
        <v>78118.350000000006</v>
      </c>
    </row>
    <row r="2597" spans="1:10" ht="20.25" customHeight="1">
      <c r="A2597" s="471">
        <v>5151</v>
      </c>
      <c r="B2597" s="474" t="s">
        <v>1217</v>
      </c>
      <c r="C2597" s="473">
        <v>96</v>
      </c>
      <c r="D2597" s="478">
        <v>1867</v>
      </c>
      <c r="E2597" s="474">
        <v>39069</v>
      </c>
      <c r="F2597" s="475" t="s">
        <v>468</v>
      </c>
      <c r="G2597" s="476">
        <v>78</v>
      </c>
      <c r="H2597" s="475" t="s">
        <v>1411</v>
      </c>
      <c r="I2597" s="487" t="s">
        <v>1412</v>
      </c>
      <c r="J2597" s="510">
        <v>374657.07</v>
      </c>
    </row>
    <row r="2598" spans="1:10" ht="20.25" customHeight="1">
      <c r="A2598" s="471">
        <v>5191</v>
      </c>
      <c r="B2598" s="474" t="s">
        <v>1217</v>
      </c>
      <c r="C2598" s="473">
        <v>29</v>
      </c>
      <c r="D2598" s="478">
        <v>142</v>
      </c>
      <c r="E2598" s="474">
        <v>39125</v>
      </c>
      <c r="F2598" s="475" t="s">
        <v>446</v>
      </c>
      <c r="G2598" s="476">
        <v>52</v>
      </c>
      <c r="H2598" s="475" t="s">
        <v>1413</v>
      </c>
      <c r="I2598" s="487" t="s">
        <v>1414</v>
      </c>
      <c r="J2598" s="509">
        <v>2127.5</v>
      </c>
    </row>
    <row r="2599" spans="1:10" ht="20.25" customHeight="1">
      <c r="A2599" s="471">
        <v>5191</v>
      </c>
      <c r="B2599" s="474" t="s">
        <v>1217</v>
      </c>
      <c r="C2599" s="473">
        <v>30</v>
      </c>
      <c r="D2599" s="478">
        <v>142</v>
      </c>
      <c r="E2599" s="474">
        <v>39125</v>
      </c>
      <c r="F2599" s="475" t="s">
        <v>446</v>
      </c>
      <c r="G2599" s="476">
        <v>52</v>
      </c>
      <c r="H2599" s="475" t="s">
        <v>1413</v>
      </c>
      <c r="I2599" s="487" t="s">
        <v>1414</v>
      </c>
      <c r="J2599" s="509">
        <v>2127.5</v>
      </c>
    </row>
    <row r="2600" spans="1:10" ht="20.25" customHeight="1">
      <c r="A2600" s="471">
        <v>5191</v>
      </c>
      <c r="B2600" s="474" t="s">
        <v>1217</v>
      </c>
      <c r="C2600" s="473">
        <v>31</v>
      </c>
      <c r="D2600" s="478">
        <v>142</v>
      </c>
      <c r="E2600" s="474">
        <v>39125</v>
      </c>
      <c r="F2600" s="475" t="s">
        <v>446</v>
      </c>
      <c r="G2600" s="476">
        <v>52</v>
      </c>
      <c r="H2600" s="475" t="s">
        <v>1413</v>
      </c>
      <c r="I2600" s="487" t="s">
        <v>1414</v>
      </c>
      <c r="J2600" s="509">
        <v>2127.5</v>
      </c>
    </row>
    <row r="2601" spans="1:10" ht="20.25" customHeight="1">
      <c r="A2601" s="471">
        <v>5191</v>
      </c>
      <c r="B2601" s="474" t="s">
        <v>1217</v>
      </c>
      <c r="C2601" s="473">
        <v>32</v>
      </c>
      <c r="D2601" s="478">
        <v>142</v>
      </c>
      <c r="E2601" s="474">
        <v>39125</v>
      </c>
      <c r="F2601" s="475" t="s">
        <v>446</v>
      </c>
      <c r="G2601" s="476">
        <v>52</v>
      </c>
      <c r="H2601" s="475" t="s">
        <v>1413</v>
      </c>
      <c r="I2601" s="487" t="s">
        <v>1415</v>
      </c>
      <c r="J2601" s="509">
        <v>2127.5</v>
      </c>
    </row>
    <row r="2602" spans="1:10" ht="20.25" customHeight="1">
      <c r="A2602" s="471">
        <v>5191</v>
      </c>
      <c r="B2602" s="474" t="s">
        <v>1217</v>
      </c>
      <c r="C2602" s="473">
        <v>33</v>
      </c>
      <c r="D2602" s="478">
        <v>142</v>
      </c>
      <c r="E2602" s="474">
        <v>39125</v>
      </c>
      <c r="F2602" s="475" t="s">
        <v>446</v>
      </c>
      <c r="G2602" s="476">
        <v>52</v>
      </c>
      <c r="H2602" s="475" t="s">
        <v>1413</v>
      </c>
      <c r="I2602" s="487" t="s">
        <v>1414</v>
      </c>
      <c r="J2602" s="509">
        <v>2127.5</v>
      </c>
    </row>
    <row r="2603" spans="1:10" ht="20.25" customHeight="1">
      <c r="A2603" s="471">
        <v>5191</v>
      </c>
      <c r="B2603" s="474" t="s">
        <v>1217</v>
      </c>
      <c r="C2603" s="473">
        <v>34</v>
      </c>
      <c r="D2603" s="478">
        <v>142</v>
      </c>
      <c r="E2603" s="474">
        <v>39125</v>
      </c>
      <c r="F2603" s="475" t="s">
        <v>446</v>
      </c>
      <c r="G2603" s="476">
        <v>52</v>
      </c>
      <c r="H2603" s="475" t="s">
        <v>1413</v>
      </c>
      <c r="I2603" s="487" t="s">
        <v>1414</v>
      </c>
      <c r="J2603" s="509">
        <v>2127.5</v>
      </c>
    </row>
    <row r="2604" spans="1:10" ht="20.25" customHeight="1">
      <c r="A2604" s="471">
        <v>5191</v>
      </c>
      <c r="B2604" s="474" t="s">
        <v>1217</v>
      </c>
      <c r="C2604" s="473">
        <v>35</v>
      </c>
      <c r="D2604" s="478">
        <v>142</v>
      </c>
      <c r="E2604" s="474">
        <v>39125</v>
      </c>
      <c r="F2604" s="475" t="s">
        <v>446</v>
      </c>
      <c r="G2604" s="476">
        <v>52</v>
      </c>
      <c r="H2604" s="475" t="s">
        <v>1413</v>
      </c>
      <c r="I2604" s="487" t="s">
        <v>1414</v>
      </c>
      <c r="J2604" s="509">
        <v>2127.5</v>
      </c>
    </row>
    <row r="2605" spans="1:10" ht="20.25" customHeight="1">
      <c r="A2605" s="471">
        <v>5191</v>
      </c>
      <c r="B2605" s="474" t="s">
        <v>1217</v>
      </c>
      <c r="C2605" s="473">
        <v>36</v>
      </c>
      <c r="D2605" s="478">
        <v>142</v>
      </c>
      <c r="E2605" s="474">
        <v>39125</v>
      </c>
      <c r="F2605" s="475" t="s">
        <v>446</v>
      </c>
      <c r="G2605" s="476">
        <v>52</v>
      </c>
      <c r="H2605" s="475" t="s">
        <v>1413</v>
      </c>
      <c r="I2605" s="487" t="s">
        <v>1414</v>
      </c>
      <c r="J2605" s="509">
        <v>2127.5</v>
      </c>
    </row>
    <row r="2606" spans="1:10" ht="20.25" customHeight="1">
      <c r="A2606" s="471">
        <v>5191</v>
      </c>
      <c r="B2606" s="474" t="s">
        <v>1217</v>
      </c>
      <c r="C2606" s="473">
        <v>37</v>
      </c>
      <c r="D2606" s="478">
        <v>142</v>
      </c>
      <c r="E2606" s="474">
        <v>39125</v>
      </c>
      <c r="F2606" s="475" t="s">
        <v>446</v>
      </c>
      <c r="G2606" s="476">
        <v>52</v>
      </c>
      <c r="H2606" s="475" t="s">
        <v>1413</v>
      </c>
      <c r="I2606" s="487" t="s">
        <v>1414</v>
      </c>
      <c r="J2606" s="509">
        <v>2127.5</v>
      </c>
    </row>
    <row r="2607" spans="1:10" ht="20.25" customHeight="1">
      <c r="A2607" s="471">
        <v>5111</v>
      </c>
      <c r="B2607" s="474" t="s">
        <v>1217</v>
      </c>
      <c r="C2607" s="473">
        <v>864</v>
      </c>
      <c r="D2607" s="478">
        <v>301</v>
      </c>
      <c r="E2607" s="474">
        <v>39295</v>
      </c>
      <c r="F2607" s="475" t="s">
        <v>446</v>
      </c>
      <c r="G2607" s="476">
        <v>27</v>
      </c>
      <c r="H2607" s="475" t="s">
        <v>1416</v>
      </c>
      <c r="I2607" s="487" t="s">
        <v>1417</v>
      </c>
      <c r="J2607" s="509">
        <v>5388.49</v>
      </c>
    </row>
    <row r="2608" spans="1:10" ht="20.25" customHeight="1">
      <c r="A2608" s="471">
        <v>5111</v>
      </c>
      <c r="B2608" s="474" t="s">
        <v>1217</v>
      </c>
      <c r="C2608" s="473">
        <v>865</v>
      </c>
      <c r="D2608" s="478">
        <v>301</v>
      </c>
      <c r="E2608" s="474">
        <v>39295</v>
      </c>
      <c r="F2608" s="475" t="s">
        <v>446</v>
      </c>
      <c r="G2608" s="476">
        <v>27</v>
      </c>
      <c r="H2608" s="475" t="s">
        <v>1416</v>
      </c>
      <c r="I2608" s="487" t="s">
        <v>1417</v>
      </c>
      <c r="J2608" s="509">
        <v>5388.49</v>
      </c>
    </row>
    <row r="2609" spans="1:10" ht="20.25" customHeight="1">
      <c r="A2609" s="471">
        <v>5321</v>
      </c>
      <c r="B2609" s="474" t="s">
        <v>1217</v>
      </c>
      <c r="C2609" s="473">
        <v>1</v>
      </c>
      <c r="D2609" s="478">
        <v>349</v>
      </c>
      <c r="E2609" s="474">
        <v>39336</v>
      </c>
      <c r="F2609" s="475" t="s">
        <v>446</v>
      </c>
      <c r="G2609" s="476">
        <v>74</v>
      </c>
      <c r="H2609" s="475" t="s">
        <v>1418</v>
      </c>
      <c r="I2609" s="487" t="s">
        <v>1419</v>
      </c>
      <c r="J2609" s="509">
        <f>5500*1.15</f>
        <v>6324.9999999999991</v>
      </c>
    </row>
    <row r="2610" spans="1:10" ht="20.25" customHeight="1">
      <c r="A2610" s="471">
        <v>5321</v>
      </c>
      <c r="B2610" s="474" t="s">
        <v>1217</v>
      </c>
      <c r="C2610" s="473">
        <v>2</v>
      </c>
      <c r="D2610" s="478">
        <v>349</v>
      </c>
      <c r="E2610" s="474">
        <v>39336</v>
      </c>
      <c r="F2610" s="475" t="s">
        <v>446</v>
      </c>
      <c r="G2610" s="476">
        <v>74</v>
      </c>
      <c r="H2610" s="475" t="s">
        <v>1418</v>
      </c>
      <c r="I2610" s="487" t="s">
        <v>1419</v>
      </c>
      <c r="J2610" s="509">
        <f>5500*1.15</f>
        <v>6324.9999999999991</v>
      </c>
    </row>
    <row r="2611" spans="1:10" ht="20.25" customHeight="1">
      <c r="A2611" s="471">
        <v>5321</v>
      </c>
      <c r="B2611" s="474" t="s">
        <v>1217</v>
      </c>
      <c r="C2611" s="473">
        <v>3</v>
      </c>
      <c r="D2611" s="478">
        <v>349</v>
      </c>
      <c r="E2611" s="474">
        <v>39336</v>
      </c>
      <c r="F2611" s="475" t="s">
        <v>446</v>
      </c>
      <c r="G2611" s="476">
        <v>74</v>
      </c>
      <c r="H2611" s="475" t="s">
        <v>1418</v>
      </c>
      <c r="I2611" s="487" t="s">
        <v>1420</v>
      </c>
      <c r="J2611" s="509">
        <f>10700*1.15</f>
        <v>12304.999999999998</v>
      </c>
    </row>
    <row r="2612" spans="1:10" ht="20.25" customHeight="1">
      <c r="A2612" s="471">
        <v>5321</v>
      </c>
      <c r="B2612" s="474" t="s">
        <v>1217</v>
      </c>
      <c r="C2612" s="473">
        <v>4</v>
      </c>
      <c r="D2612" s="478">
        <v>349</v>
      </c>
      <c r="E2612" s="474">
        <v>39336</v>
      </c>
      <c r="F2612" s="475" t="s">
        <v>446</v>
      </c>
      <c r="G2612" s="476">
        <v>74</v>
      </c>
      <c r="H2612" s="475" t="s">
        <v>1418</v>
      </c>
      <c r="I2612" s="487" t="s">
        <v>1421</v>
      </c>
      <c r="J2612" s="509">
        <f>15400*1.15</f>
        <v>17710</v>
      </c>
    </row>
    <row r="2613" spans="1:10" ht="20.25" customHeight="1">
      <c r="A2613" s="471">
        <v>5321</v>
      </c>
      <c r="B2613" s="474" t="s">
        <v>1217</v>
      </c>
      <c r="C2613" s="473">
        <v>5</v>
      </c>
      <c r="D2613" s="478">
        <v>349</v>
      </c>
      <c r="E2613" s="474">
        <v>39336</v>
      </c>
      <c r="F2613" s="475" t="s">
        <v>446</v>
      </c>
      <c r="G2613" s="476">
        <v>74</v>
      </c>
      <c r="H2613" s="475" t="s">
        <v>1418</v>
      </c>
      <c r="I2613" s="487" t="s">
        <v>1422</v>
      </c>
      <c r="J2613" s="509">
        <f>15400*1.15</f>
        <v>17710</v>
      </c>
    </row>
    <row r="2614" spans="1:10" ht="20.25" customHeight="1">
      <c r="A2614" s="471">
        <v>5321</v>
      </c>
      <c r="B2614" s="474" t="s">
        <v>1217</v>
      </c>
      <c r="C2614" s="473">
        <v>6</v>
      </c>
      <c r="D2614" s="478">
        <v>349</v>
      </c>
      <c r="E2614" s="474">
        <v>39336</v>
      </c>
      <c r="F2614" s="475" t="s">
        <v>446</v>
      </c>
      <c r="G2614" s="476">
        <v>74</v>
      </c>
      <c r="H2614" s="475" t="s">
        <v>1418</v>
      </c>
      <c r="I2614" s="487" t="s">
        <v>1423</v>
      </c>
      <c r="J2614" s="509">
        <f>18800*1.15</f>
        <v>21620</v>
      </c>
    </row>
    <row r="2615" spans="1:10" ht="20.25" customHeight="1">
      <c r="A2615" s="471">
        <v>5321</v>
      </c>
      <c r="B2615" s="474" t="s">
        <v>1217</v>
      </c>
      <c r="C2615" s="473">
        <v>7</v>
      </c>
      <c r="D2615" s="478">
        <v>349</v>
      </c>
      <c r="E2615" s="474">
        <v>39336</v>
      </c>
      <c r="F2615" s="475" t="s">
        <v>446</v>
      </c>
      <c r="G2615" s="476">
        <v>74</v>
      </c>
      <c r="H2615" s="475" t="s">
        <v>1418</v>
      </c>
      <c r="I2615" s="487" t="s">
        <v>1423</v>
      </c>
      <c r="J2615" s="509">
        <f>18800*1.15</f>
        <v>21620</v>
      </c>
    </row>
    <row r="2616" spans="1:10" ht="20.25" customHeight="1">
      <c r="A2616" s="471">
        <v>5321</v>
      </c>
      <c r="B2616" s="474" t="s">
        <v>1217</v>
      </c>
      <c r="C2616" s="473">
        <v>8</v>
      </c>
      <c r="D2616" s="478">
        <v>349</v>
      </c>
      <c r="E2616" s="474">
        <v>39336</v>
      </c>
      <c r="F2616" s="475" t="s">
        <v>446</v>
      </c>
      <c r="G2616" s="476">
        <v>74</v>
      </c>
      <c r="H2616" s="475" t="s">
        <v>1418</v>
      </c>
      <c r="I2616" s="487" t="s">
        <v>1424</v>
      </c>
      <c r="J2616" s="509">
        <f>19600*1.15</f>
        <v>22540</v>
      </c>
    </row>
    <row r="2617" spans="1:10" ht="20.25" customHeight="1">
      <c r="A2617" s="471">
        <v>5321</v>
      </c>
      <c r="B2617" s="474" t="s">
        <v>1217</v>
      </c>
      <c r="C2617" s="473">
        <v>9</v>
      </c>
      <c r="D2617" s="478">
        <v>349</v>
      </c>
      <c r="E2617" s="474">
        <v>39336</v>
      </c>
      <c r="F2617" s="475" t="s">
        <v>446</v>
      </c>
      <c r="G2617" s="476">
        <v>74</v>
      </c>
      <c r="H2617" s="475" t="s">
        <v>1418</v>
      </c>
      <c r="I2617" s="487" t="s">
        <v>1424</v>
      </c>
      <c r="J2617" s="509">
        <f>19600*1.15</f>
        <v>22540</v>
      </c>
    </row>
    <row r="2618" spans="1:10" ht="20.25" customHeight="1">
      <c r="A2618" s="471">
        <v>5321</v>
      </c>
      <c r="B2618" s="474" t="s">
        <v>1217</v>
      </c>
      <c r="C2618" s="473">
        <v>10</v>
      </c>
      <c r="D2618" s="478">
        <v>349</v>
      </c>
      <c r="E2618" s="474">
        <v>39336</v>
      </c>
      <c r="F2618" s="475" t="s">
        <v>446</v>
      </c>
      <c r="G2618" s="476">
        <v>74</v>
      </c>
      <c r="H2618" s="475" t="s">
        <v>1418</v>
      </c>
      <c r="I2618" s="487" t="s">
        <v>1424</v>
      </c>
      <c r="J2618" s="509">
        <f>19600*1.15</f>
        <v>22540</v>
      </c>
    </row>
    <row r="2619" spans="1:10" ht="20.25" customHeight="1">
      <c r="A2619" s="471">
        <v>5321</v>
      </c>
      <c r="B2619" s="474" t="s">
        <v>1217</v>
      </c>
      <c r="C2619" s="473">
        <v>11</v>
      </c>
      <c r="D2619" s="478">
        <v>349</v>
      </c>
      <c r="E2619" s="474">
        <v>39336</v>
      </c>
      <c r="F2619" s="475" t="s">
        <v>446</v>
      </c>
      <c r="G2619" s="476">
        <v>74</v>
      </c>
      <c r="H2619" s="475" t="s">
        <v>1418</v>
      </c>
      <c r="I2619" s="487" t="s">
        <v>1425</v>
      </c>
      <c r="J2619" s="509">
        <f>19800*1.15</f>
        <v>22770</v>
      </c>
    </row>
    <row r="2620" spans="1:10" ht="20.25" customHeight="1">
      <c r="A2620" s="471">
        <v>5321</v>
      </c>
      <c r="B2620" s="474" t="s">
        <v>1217</v>
      </c>
      <c r="C2620" s="473">
        <v>12</v>
      </c>
      <c r="D2620" s="478">
        <v>349</v>
      </c>
      <c r="E2620" s="474">
        <v>39336</v>
      </c>
      <c r="F2620" s="475" t="s">
        <v>446</v>
      </c>
      <c r="G2620" s="476">
        <v>74</v>
      </c>
      <c r="H2620" s="475" t="s">
        <v>1418</v>
      </c>
      <c r="I2620" s="487" t="s">
        <v>1426</v>
      </c>
      <c r="J2620" s="509">
        <f>29300*1.15</f>
        <v>33695</v>
      </c>
    </row>
    <row r="2621" spans="1:10" ht="20.25" customHeight="1">
      <c r="A2621" s="471">
        <v>5191</v>
      </c>
      <c r="B2621" s="474" t="s">
        <v>1217</v>
      </c>
      <c r="C2621" s="473">
        <v>38</v>
      </c>
      <c r="D2621" s="478">
        <v>3055</v>
      </c>
      <c r="E2621" s="474">
        <v>39339</v>
      </c>
      <c r="F2621" s="475" t="s">
        <v>468</v>
      </c>
      <c r="G2621" s="476">
        <v>53</v>
      </c>
      <c r="H2621" s="475" t="s">
        <v>1427</v>
      </c>
      <c r="I2621" s="487" t="s">
        <v>1428</v>
      </c>
      <c r="J2621" s="509">
        <v>14375</v>
      </c>
    </row>
    <row r="2622" spans="1:10" ht="20.25" customHeight="1">
      <c r="A2622" s="471">
        <v>5111</v>
      </c>
      <c r="B2622" s="474" t="s">
        <v>1217</v>
      </c>
      <c r="C2622" s="473">
        <v>1286</v>
      </c>
      <c r="D2622" s="478">
        <v>3145</v>
      </c>
      <c r="E2622" s="474">
        <v>40604</v>
      </c>
      <c r="F2622" s="475" t="s">
        <v>446</v>
      </c>
      <c r="G2622" s="476">
        <v>28</v>
      </c>
      <c r="H2622" s="475" t="s">
        <v>1429</v>
      </c>
      <c r="I2622" s="487" t="s">
        <v>1430</v>
      </c>
      <c r="J2622" s="509">
        <v>0</v>
      </c>
    </row>
    <row r="2623" spans="1:10" ht="20.25" customHeight="1">
      <c r="A2623" s="471">
        <v>5111</v>
      </c>
      <c r="B2623" s="474" t="s">
        <v>1217</v>
      </c>
      <c r="C2623" s="473">
        <v>1287</v>
      </c>
      <c r="D2623" s="478">
        <v>3145</v>
      </c>
      <c r="E2623" s="474">
        <v>40604</v>
      </c>
      <c r="F2623" s="475" t="s">
        <v>468</v>
      </c>
      <c r="G2623" s="476">
        <v>28</v>
      </c>
      <c r="H2623" s="475" t="s">
        <v>1429</v>
      </c>
      <c r="I2623" s="487" t="s">
        <v>1431</v>
      </c>
      <c r="J2623" s="509">
        <v>0</v>
      </c>
    </row>
    <row r="2624" spans="1:10" ht="20.25" customHeight="1">
      <c r="A2624" s="471">
        <v>5111</v>
      </c>
      <c r="B2624" s="474" t="s">
        <v>1217</v>
      </c>
      <c r="C2624" s="473">
        <v>1288</v>
      </c>
      <c r="D2624" s="478">
        <v>3145</v>
      </c>
      <c r="E2624" s="474">
        <v>40604</v>
      </c>
      <c r="F2624" s="475" t="s">
        <v>468</v>
      </c>
      <c r="G2624" s="476">
        <v>28</v>
      </c>
      <c r="H2624" s="475" t="s">
        <v>1429</v>
      </c>
      <c r="I2624" s="487" t="s">
        <v>1431</v>
      </c>
      <c r="J2624" s="509">
        <v>0</v>
      </c>
    </row>
    <row r="2625" spans="1:10" ht="20.25" customHeight="1">
      <c r="A2625" s="471">
        <v>5111</v>
      </c>
      <c r="B2625" s="474" t="s">
        <v>1217</v>
      </c>
      <c r="C2625" s="473">
        <v>1289</v>
      </c>
      <c r="D2625" s="478">
        <v>3145</v>
      </c>
      <c r="E2625" s="474">
        <v>40604</v>
      </c>
      <c r="F2625" s="475" t="s">
        <v>468</v>
      </c>
      <c r="G2625" s="476">
        <v>28</v>
      </c>
      <c r="H2625" s="475" t="s">
        <v>1429</v>
      </c>
      <c r="I2625" s="487" t="s">
        <v>1431</v>
      </c>
      <c r="J2625" s="509">
        <v>0</v>
      </c>
    </row>
    <row r="2626" spans="1:10" ht="20.25" customHeight="1">
      <c r="A2626" s="471">
        <v>5111</v>
      </c>
      <c r="B2626" s="474" t="s">
        <v>1217</v>
      </c>
      <c r="C2626" s="473">
        <v>1290</v>
      </c>
      <c r="D2626" s="478">
        <v>3145</v>
      </c>
      <c r="E2626" s="474">
        <v>40604</v>
      </c>
      <c r="F2626" s="475" t="s">
        <v>468</v>
      </c>
      <c r="G2626" s="476">
        <v>28</v>
      </c>
      <c r="H2626" s="475" t="s">
        <v>1429</v>
      </c>
      <c r="I2626" s="487" t="s">
        <v>1431</v>
      </c>
      <c r="J2626" s="509">
        <v>0</v>
      </c>
    </row>
    <row r="2627" spans="1:10" ht="20.25" customHeight="1">
      <c r="A2627" s="471">
        <v>5111</v>
      </c>
      <c r="B2627" s="474" t="s">
        <v>1217</v>
      </c>
      <c r="C2627" s="473">
        <v>1291</v>
      </c>
      <c r="D2627" s="478">
        <v>3145</v>
      </c>
      <c r="E2627" s="474">
        <v>40604</v>
      </c>
      <c r="F2627" s="475" t="s">
        <v>468</v>
      </c>
      <c r="G2627" s="476">
        <v>28</v>
      </c>
      <c r="H2627" s="475" t="s">
        <v>1429</v>
      </c>
      <c r="I2627" s="487" t="s">
        <v>1431</v>
      </c>
      <c r="J2627" s="509">
        <v>0</v>
      </c>
    </row>
    <row r="2628" spans="1:10" ht="20.25" customHeight="1">
      <c r="A2628" s="471">
        <v>5111</v>
      </c>
      <c r="B2628" s="474" t="s">
        <v>1217</v>
      </c>
      <c r="C2628" s="473">
        <v>1292</v>
      </c>
      <c r="D2628" s="478">
        <v>3145</v>
      </c>
      <c r="E2628" s="474">
        <v>40604</v>
      </c>
      <c r="F2628" s="475" t="s">
        <v>468</v>
      </c>
      <c r="G2628" s="476">
        <v>28</v>
      </c>
      <c r="H2628" s="475" t="s">
        <v>1429</v>
      </c>
      <c r="I2628" s="487" t="s">
        <v>1431</v>
      </c>
      <c r="J2628" s="509">
        <v>0</v>
      </c>
    </row>
    <row r="2629" spans="1:10" ht="20.25" customHeight="1">
      <c r="A2629" s="471">
        <v>5111</v>
      </c>
      <c r="B2629" s="474" t="s">
        <v>1217</v>
      </c>
      <c r="C2629" s="473">
        <v>1293</v>
      </c>
      <c r="D2629" s="478">
        <v>3145</v>
      </c>
      <c r="E2629" s="474">
        <v>40604</v>
      </c>
      <c r="F2629" s="475" t="s">
        <v>446</v>
      </c>
      <c r="G2629" s="476">
        <v>28</v>
      </c>
      <c r="H2629" s="475" t="s">
        <v>1429</v>
      </c>
      <c r="I2629" s="487" t="s">
        <v>1430</v>
      </c>
      <c r="J2629" s="509">
        <v>0</v>
      </c>
    </row>
    <row r="2630" spans="1:10" ht="20.25" customHeight="1">
      <c r="A2630" s="471">
        <v>5111</v>
      </c>
      <c r="B2630" s="474" t="s">
        <v>1217</v>
      </c>
      <c r="C2630" s="473">
        <v>1294</v>
      </c>
      <c r="D2630" s="478">
        <v>3145</v>
      </c>
      <c r="E2630" s="474">
        <v>40604</v>
      </c>
      <c r="F2630" s="475" t="s">
        <v>446</v>
      </c>
      <c r="G2630" s="476">
        <v>28</v>
      </c>
      <c r="H2630" s="475" t="s">
        <v>1429</v>
      </c>
      <c r="I2630" s="487" t="s">
        <v>1430</v>
      </c>
      <c r="J2630" s="509">
        <v>0</v>
      </c>
    </row>
    <row r="2631" spans="1:10" ht="20.25" customHeight="1">
      <c r="A2631" s="471">
        <v>5111</v>
      </c>
      <c r="B2631" s="474" t="s">
        <v>1217</v>
      </c>
      <c r="C2631" s="473">
        <v>1295</v>
      </c>
      <c r="D2631" s="478">
        <v>3145</v>
      </c>
      <c r="E2631" s="474">
        <v>40604</v>
      </c>
      <c r="F2631" s="475" t="s">
        <v>446</v>
      </c>
      <c r="G2631" s="476">
        <v>28</v>
      </c>
      <c r="H2631" s="475" t="s">
        <v>1429</v>
      </c>
      <c r="I2631" s="487" t="s">
        <v>1430</v>
      </c>
      <c r="J2631" s="509">
        <v>0</v>
      </c>
    </row>
    <row r="2632" spans="1:10" ht="20.25" customHeight="1">
      <c r="A2632" s="471">
        <v>5111</v>
      </c>
      <c r="B2632" s="474" t="s">
        <v>1217</v>
      </c>
      <c r="C2632" s="473">
        <v>1296</v>
      </c>
      <c r="D2632" s="478">
        <v>3145</v>
      </c>
      <c r="E2632" s="474">
        <v>40604</v>
      </c>
      <c r="F2632" s="475" t="s">
        <v>446</v>
      </c>
      <c r="G2632" s="476">
        <v>28</v>
      </c>
      <c r="H2632" s="475" t="s">
        <v>1429</v>
      </c>
      <c r="I2632" s="487" t="s">
        <v>1430</v>
      </c>
      <c r="J2632" s="509">
        <v>0</v>
      </c>
    </row>
    <row r="2633" spans="1:10" ht="20.25" customHeight="1">
      <c r="A2633" s="471">
        <v>5111</v>
      </c>
      <c r="B2633" s="474" t="s">
        <v>1217</v>
      </c>
      <c r="C2633" s="473">
        <v>1297</v>
      </c>
      <c r="D2633" s="478">
        <v>3145</v>
      </c>
      <c r="E2633" s="474">
        <v>40604</v>
      </c>
      <c r="F2633" s="475" t="s">
        <v>446</v>
      </c>
      <c r="G2633" s="476">
        <v>28</v>
      </c>
      <c r="H2633" s="475" t="s">
        <v>1429</v>
      </c>
      <c r="I2633" s="487" t="s">
        <v>1430</v>
      </c>
      <c r="J2633" s="509">
        <v>0</v>
      </c>
    </row>
    <row r="2634" spans="1:10" ht="20.25" customHeight="1">
      <c r="A2634" s="471">
        <v>5111</v>
      </c>
      <c r="B2634" s="474" t="s">
        <v>1217</v>
      </c>
      <c r="C2634" s="473">
        <v>1298</v>
      </c>
      <c r="D2634" s="478">
        <v>3145</v>
      </c>
      <c r="E2634" s="474">
        <v>40604</v>
      </c>
      <c r="F2634" s="475" t="s">
        <v>446</v>
      </c>
      <c r="G2634" s="476">
        <v>28</v>
      </c>
      <c r="H2634" s="475" t="s">
        <v>1429</v>
      </c>
      <c r="I2634" s="487" t="s">
        <v>1430</v>
      </c>
      <c r="J2634" s="509">
        <v>0</v>
      </c>
    </row>
    <row r="2635" spans="1:10" ht="20.25" customHeight="1">
      <c r="A2635" s="471">
        <v>5111</v>
      </c>
      <c r="B2635" s="474" t="s">
        <v>1217</v>
      </c>
      <c r="C2635" s="473">
        <v>1299</v>
      </c>
      <c r="D2635" s="478">
        <v>3145</v>
      </c>
      <c r="E2635" s="474">
        <v>40604</v>
      </c>
      <c r="F2635" s="475" t="s">
        <v>446</v>
      </c>
      <c r="G2635" s="476">
        <v>28</v>
      </c>
      <c r="H2635" s="475" t="s">
        <v>1429</v>
      </c>
      <c r="I2635" s="487" t="s">
        <v>1430</v>
      </c>
      <c r="J2635" s="509">
        <v>0</v>
      </c>
    </row>
    <row r="2636" spans="1:10" ht="20.25" customHeight="1">
      <c r="A2636" s="471">
        <v>5111</v>
      </c>
      <c r="B2636" s="474" t="s">
        <v>1217</v>
      </c>
      <c r="C2636" s="473">
        <v>1300</v>
      </c>
      <c r="D2636" s="478">
        <v>3145</v>
      </c>
      <c r="E2636" s="474">
        <v>40604</v>
      </c>
      <c r="F2636" s="475" t="s">
        <v>446</v>
      </c>
      <c r="G2636" s="476">
        <v>28</v>
      </c>
      <c r="H2636" s="475" t="s">
        <v>1429</v>
      </c>
      <c r="I2636" s="487" t="s">
        <v>1430</v>
      </c>
      <c r="J2636" s="509">
        <v>0</v>
      </c>
    </row>
    <row r="2637" spans="1:10" ht="20.25" customHeight="1">
      <c r="A2637" s="471">
        <v>5111</v>
      </c>
      <c r="B2637" s="474" t="s">
        <v>1217</v>
      </c>
      <c r="C2637" s="473">
        <v>1301</v>
      </c>
      <c r="D2637" s="478">
        <v>3145</v>
      </c>
      <c r="E2637" s="474">
        <v>40604</v>
      </c>
      <c r="F2637" s="475" t="s">
        <v>446</v>
      </c>
      <c r="G2637" s="476">
        <v>28</v>
      </c>
      <c r="H2637" s="475" t="s">
        <v>1429</v>
      </c>
      <c r="I2637" s="487" t="s">
        <v>1430</v>
      </c>
      <c r="J2637" s="509">
        <v>0</v>
      </c>
    </row>
    <row r="2638" spans="1:10" ht="20.25" customHeight="1">
      <c r="A2638" s="471">
        <v>5111</v>
      </c>
      <c r="B2638" s="474" t="s">
        <v>1217</v>
      </c>
      <c r="C2638" s="473">
        <v>1302</v>
      </c>
      <c r="D2638" s="478">
        <v>3145</v>
      </c>
      <c r="E2638" s="474">
        <v>40604</v>
      </c>
      <c r="F2638" s="475" t="s">
        <v>446</v>
      </c>
      <c r="G2638" s="476">
        <v>28</v>
      </c>
      <c r="H2638" s="475" t="s">
        <v>1429</v>
      </c>
      <c r="I2638" s="487" t="s">
        <v>1430</v>
      </c>
      <c r="J2638" s="509">
        <v>0</v>
      </c>
    </row>
    <row r="2639" spans="1:10" ht="20.25" customHeight="1">
      <c r="A2639" s="471">
        <v>5111</v>
      </c>
      <c r="B2639" s="474" t="s">
        <v>1217</v>
      </c>
      <c r="C2639" s="473">
        <v>1303</v>
      </c>
      <c r="D2639" s="478">
        <v>3145</v>
      </c>
      <c r="E2639" s="474">
        <v>40604</v>
      </c>
      <c r="F2639" s="475" t="s">
        <v>446</v>
      </c>
      <c r="G2639" s="476">
        <v>28</v>
      </c>
      <c r="H2639" s="475" t="s">
        <v>1429</v>
      </c>
      <c r="I2639" s="487" t="s">
        <v>1430</v>
      </c>
      <c r="J2639" s="509">
        <v>0</v>
      </c>
    </row>
    <row r="2640" spans="1:10" ht="20.25" customHeight="1">
      <c r="A2640" s="471">
        <v>5111</v>
      </c>
      <c r="B2640" s="474" t="s">
        <v>1217</v>
      </c>
      <c r="C2640" s="473">
        <v>1304</v>
      </c>
      <c r="D2640" s="478">
        <v>3145</v>
      </c>
      <c r="E2640" s="474">
        <v>40604</v>
      </c>
      <c r="F2640" s="475" t="s">
        <v>446</v>
      </c>
      <c r="G2640" s="476">
        <v>28</v>
      </c>
      <c r="H2640" s="475" t="s">
        <v>1429</v>
      </c>
      <c r="I2640" s="487" t="s">
        <v>1432</v>
      </c>
      <c r="J2640" s="509">
        <v>0</v>
      </c>
    </row>
    <row r="2641" spans="1:10" ht="20.25" customHeight="1">
      <c r="A2641" s="471">
        <v>5111</v>
      </c>
      <c r="B2641" s="474" t="s">
        <v>1217</v>
      </c>
      <c r="C2641" s="473">
        <v>1305</v>
      </c>
      <c r="D2641" s="478">
        <v>3145</v>
      </c>
      <c r="E2641" s="474">
        <v>40604</v>
      </c>
      <c r="F2641" s="475" t="s">
        <v>446</v>
      </c>
      <c r="G2641" s="476">
        <v>28</v>
      </c>
      <c r="H2641" s="475" t="s">
        <v>1429</v>
      </c>
      <c r="I2641" s="487" t="s">
        <v>1432</v>
      </c>
      <c r="J2641" s="509">
        <v>0</v>
      </c>
    </row>
    <row r="2642" spans="1:10" ht="20.25" customHeight="1">
      <c r="A2642" s="471">
        <v>5111</v>
      </c>
      <c r="B2642" s="474" t="s">
        <v>1217</v>
      </c>
      <c r="C2642" s="473">
        <v>1306</v>
      </c>
      <c r="D2642" s="478">
        <v>3145</v>
      </c>
      <c r="E2642" s="474">
        <v>40604</v>
      </c>
      <c r="F2642" s="475" t="s">
        <v>446</v>
      </c>
      <c r="G2642" s="476">
        <v>28</v>
      </c>
      <c r="H2642" s="475" t="s">
        <v>1429</v>
      </c>
      <c r="I2642" s="487" t="s">
        <v>1432</v>
      </c>
      <c r="J2642" s="509">
        <v>0</v>
      </c>
    </row>
    <row r="2643" spans="1:10" ht="20.25" customHeight="1">
      <c r="A2643" s="471">
        <v>5111</v>
      </c>
      <c r="B2643" s="474" t="s">
        <v>1217</v>
      </c>
      <c r="C2643" s="473">
        <v>1307</v>
      </c>
      <c r="D2643" s="478">
        <v>3145</v>
      </c>
      <c r="E2643" s="474">
        <v>40604</v>
      </c>
      <c r="F2643" s="475" t="s">
        <v>446</v>
      </c>
      <c r="G2643" s="476">
        <v>28</v>
      </c>
      <c r="H2643" s="475" t="s">
        <v>1429</v>
      </c>
      <c r="I2643" s="487" t="s">
        <v>1432</v>
      </c>
      <c r="J2643" s="509">
        <v>0</v>
      </c>
    </row>
    <row r="2644" spans="1:10" ht="20.25" customHeight="1">
      <c r="A2644" s="471">
        <v>5111</v>
      </c>
      <c r="B2644" s="474" t="s">
        <v>1217</v>
      </c>
      <c r="C2644" s="473">
        <v>1308</v>
      </c>
      <c r="D2644" s="478">
        <v>3145</v>
      </c>
      <c r="E2644" s="474">
        <v>40604</v>
      </c>
      <c r="F2644" s="475" t="s">
        <v>446</v>
      </c>
      <c r="G2644" s="476">
        <v>28</v>
      </c>
      <c r="H2644" s="475" t="s">
        <v>1429</v>
      </c>
      <c r="I2644" s="487" t="s">
        <v>1432</v>
      </c>
      <c r="J2644" s="509">
        <v>0</v>
      </c>
    </row>
    <row r="2645" spans="1:10" ht="20.25" customHeight="1">
      <c r="A2645" s="471">
        <v>5111</v>
      </c>
      <c r="B2645" s="474" t="s">
        <v>1217</v>
      </c>
      <c r="C2645" s="473">
        <v>1309</v>
      </c>
      <c r="D2645" s="478">
        <v>3145</v>
      </c>
      <c r="E2645" s="474">
        <v>40604</v>
      </c>
      <c r="F2645" s="475" t="s">
        <v>446</v>
      </c>
      <c r="G2645" s="476">
        <v>28</v>
      </c>
      <c r="H2645" s="475" t="s">
        <v>1429</v>
      </c>
      <c r="I2645" s="487" t="s">
        <v>1432</v>
      </c>
      <c r="J2645" s="509">
        <v>0</v>
      </c>
    </row>
    <row r="2646" spans="1:10" ht="20.25" customHeight="1">
      <c r="A2646" s="471">
        <v>5111</v>
      </c>
      <c r="B2646" s="474" t="s">
        <v>1217</v>
      </c>
      <c r="C2646" s="473">
        <v>1310</v>
      </c>
      <c r="D2646" s="478">
        <v>3145</v>
      </c>
      <c r="E2646" s="474">
        <v>40604</v>
      </c>
      <c r="F2646" s="475" t="s">
        <v>446</v>
      </c>
      <c r="G2646" s="476">
        <v>28</v>
      </c>
      <c r="H2646" s="475" t="s">
        <v>1429</v>
      </c>
      <c r="I2646" s="487" t="s">
        <v>1432</v>
      </c>
      <c r="J2646" s="509">
        <v>0</v>
      </c>
    </row>
    <row r="2647" spans="1:10" ht="20.25" customHeight="1">
      <c r="A2647" s="471">
        <v>5111</v>
      </c>
      <c r="B2647" s="474" t="s">
        <v>1217</v>
      </c>
      <c r="C2647" s="473">
        <v>1311</v>
      </c>
      <c r="D2647" s="478">
        <v>3145</v>
      </c>
      <c r="E2647" s="474">
        <v>40604</v>
      </c>
      <c r="F2647" s="475" t="s">
        <v>446</v>
      </c>
      <c r="G2647" s="476">
        <v>28</v>
      </c>
      <c r="H2647" s="475" t="s">
        <v>1429</v>
      </c>
      <c r="I2647" s="487" t="s">
        <v>1432</v>
      </c>
      <c r="J2647" s="509">
        <v>0</v>
      </c>
    </row>
    <row r="2648" spans="1:10" ht="20.25" customHeight="1">
      <c r="A2648" s="471">
        <v>5111</v>
      </c>
      <c r="B2648" s="474" t="s">
        <v>1217</v>
      </c>
      <c r="C2648" s="473">
        <v>1312</v>
      </c>
      <c r="D2648" s="478">
        <v>3145</v>
      </c>
      <c r="E2648" s="474">
        <v>40604</v>
      </c>
      <c r="F2648" s="475" t="s">
        <v>446</v>
      </c>
      <c r="G2648" s="476">
        <v>28</v>
      </c>
      <c r="H2648" s="475" t="s">
        <v>1429</v>
      </c>
      <c r="I2648" s="487" t="s">
        <v>1432</v>
      </c>
      <c r="J2648" s="509">
        <v>0</v>
      </c>
    </row>
    <row r="2649" spans="1:10" ht="20.25" customHeight="1">
      <c r="A2649" s="471">
        <v>5111</v>
      </c>
      <c r="B2649" s="474" t="s">
        <v>1217</v>
      </c>
      <c r="C2649" s="473">
        <v>1313</v>
      </c>
      <c r="D2649" s="478">
        <v>3145</v>
      </c>
      <c r="E2649" s="474">
        <v>40604</v>
      </c>
      <c r="F2649" s="475" t="s">
        <v>446</v>
      </c>
      <c r="G2649" s="476">
        <v>28</v>
      </c>
      <c r="H2649" s="475" t="s">
        <v>1429</v>
      </c>
      <c r="I2649" s="487" t="s">
        <v>1430</v>
      </c>
      <c r="J2649" s="509">
        <v>0</v>
      </c>
    </row>
    <row r="2650" spans="1:10" ht="20.25" customHeight="1">
      <c r="A2650" s="471">
        <v>5111</v>
      </c>
      <c r="B2650" s="474" t="s">
        <v>1217</v>
      </c>
      <c r="C2650" s="473">
        <v>1314</v>
      </c>
      <c r="D2650" s="478">
        <v>3145</v>
      </c>
      <c r="E2650" s="474">
        <v>40604</v>
      </c>
      <c r="F2650" s="475" t="s">
        <v>446</v>
      </c>
      <c r="G2650" s="476">
        <v>28</v>
      </c>
      <c r="H2650" s="475" t="s">
        <v>1429</v>
      </c>
      <c r="I2650" s="487" t="s">
        <v>1432</v>
      </c>
      <c r="J2650" s="509">
        <v>0</v>
      </c>
    </row>
    <row r="2651" spans="1:10" ht="20.25" customHeight="1">
      <c r="A2651" s="471">
        <v>5111</v>
      </c>
      <c r="B2651" s="474" t="s">
        <v>1217</v>
      </c>
      <c r="C2651" s="473">
        <v>1315</v>
      </c>
      <c r="D2651" s="478">
        <v>3145</v>
      </c>
      <c r="E2651" s="474">
        <v>40604</v>
      </c>
      <c r="F2651" s="475" t="s">
        <v>446</v>
      </c>
      <c r="G2651" s="476">
        <v>28</v>
      </c>
      <c r="H2651" s="475" t="s">
        <v>1429</v>
      </c>
      <c r="I2651" s="487" t="s">
        <v>1432</v>
      </c>
      <c r="J2651" s="509">
        <v>0</v>
      </c>
    </row>
    <row r="2652" spans="1:10" ht="20.25" customHeight="1">
      <c r="A2652" s="471">
        <v>5111</v>
      </c>
      <c r="B2652" s="474" t="s">
        <v>1217</v>
      </c>
      <c r="C2652" s="473">
        <v>1316</v>
      </c>
      <c r="D2652" s="478">
        <v>3145</v>
      </c>
      <c r="E2652" s="474">
        <v>40604</v>
      </c>
      <c r="F2652" s="475" t="s">
        <v>446</v>
      </c>
      <c r="G2652" s="476">
        <v>28</v>
      </c>
      <c r="H2652" s="475" t="s">
        <v>1429</v>
      </c>
      <c r="I2652" s="487" t="s">
        <v>1432</v>
      </c>
      <c r="J2652" s="509">
        <v>0</v>
      </c>
    </row>
    <row r="2653" spans="1:10" ht="20.25" customHeight="1">
      <c r="A2653" s="471">
        <v>5111</v>
      </c>
      <c r="B2653" s="474" t="s">
        <v>1217</v>
      </c>
      <c r="C2653" s="473">
        <v>1317</v>
      </c>
      <c r="D2653" s="478">
        <v>3145</v>
      </c>
      <c r="E2653" s="474">
        <v>40604</v>
      </c>
      <c r="F2653" s="475" t="s">
        <v>446</v>
      </c>
      <c r="G2653" s="476">
        <v>28</v>
      </c>
      <c r="H2653" s="475" t="s">
        <v>1429</v>
      </c>
      <c r="I2653" s="487" t="s">
        <v>1432</v>
      </c>
      <c r="J2653" s="509">
        <v>0</v>
      </c>
    </row>
    <row r="2654" spans="1:10" ht="20.25" customHeight="1">
      <c r="A2654" s="471">
        <v>5111</v>
      </c>
      <c r="B2654" s="474" t="s">
        <v>1217</v>
      </c>
      <c r="C2654" s="473">
        <v>1318</v>
      </c>
      <c r="D2654" s="478">
        <v>3145</v>
      </c>
      <c r="E2654" s="474">
        <v>40604</v>
      </c>
      <c r="F2654" s="475" t="s">
        <v>446</v>
      </c>
      <c r="G2654" s="476">
        <v>28</v>
      </c>
      <c r="H2654" s="475" t="s">
        <v>1429</v>
      </c>
      <c r="I2654" s="487" t="s">
        <v>1432</v>
      </c>
      <c r="J2654" s="509">
        <v>0</v>
      </c>
    </row>
    <row r="2655" spans="1:10" ht="20.25" customHeight="1">
      <c r="A2655" s="471">
        <v>5111</v>
      </c>
      <c r="B2655" s="474" t="s">
        <v>1217</v>
      </c>
      <c r="C2655" s="473">
        <v>1319</v>
      </c>
      <c r="D2655" s="478">
        <v>3145</v>
      </c>
      <c r="E2655" s="474">
        <v>40604</v>
      </c>
      <c r="F2655" s="475" t="s">
        <v>446</v>
      </c>
      <c r="G2655" s="476">
        <v>28</v>
      </c>
      <c r="H2655" s="475" t="s">
        <v>1429</v>
      </c>
      <c r="I2655" s="487" t="s">
        <v>1432</v>
      </c>
      <c r="J2655" s="509">
        <v>0</v>
      </c>
    </row>
    <row r="2656" spans="1:10" ht="20.25" customHeight="1">
      <c r="A2656" s="471">
        <v>5111</v>
      </c>
      <c r="B2656" s="474" t="s">
        <v>1217</v>
      </c>
      <c r="C2656" s="473">
        <v>1320</v>
      </c>
      <c r="D2656" s="478">
        <v>3145</v>
      </c>
      <c r="E2656" s="474">
        <v>40604</v>
      </c>
      <c r="F2656" s="475" t="s">
        <v>446</v>
      </c>
      <c r="G2656" s="476">
        <v>28</v>
      </c>
      <c r="H2656" s="475" t="s">
        <v>1429</v>
      </c>
      <c r="I2656" s="487" t="s">
        <v>1432</v>
      </c>
      <c r="J2656" s="509">
        <v>0</v>
      </c>
    </row>
    <row r="2657" spans="1:10" ht="20.25" customHeight="1">
      <c r="A2657" s="471">
        <v>5111</v>
      </c>
      <c r="B2657" s="474" t="s">
        <v>1217</v>
      </c>
      <c r="C2657" s="473">
        <v>1321</v>
      </c>
      <c r="D2657" s="478">
        <v>3145</v>
      </c>
      <c r="E2657" s="474">
        <v>40604</v>
      </c>
      <c r="F2657" s="475" t="s">
        <v>446</v>
      </c>
      <c r="G2657" s="476">
        <v>28</v>
      </c>
      <c r="H2657" s="475" t="s">
        <v>1429</v>
      </c>
      <c r="I2657" s="487" t="s">
        <v>1432</v>
      </c>
      <c r="J2657" s="509">
        <v>0</v>
      </c>
    </row>
    <row r="2658" spans="1:10" ht="20.25" customHeight="1">
      <c r="A2658" s="471">
        <v>5111</v>
      </c>
      <c r="B2658" s="474" t="s">
        <v>1217</v>
      </c>
      <c r="C2658" s="473">
        <v>1322</v>
      </c>
      <c r="D2658" s="478">
        <v>3145</v>
      </c>
      <c r="E2658" s="474">
        <v>40604</v>
      </c>
      <c r="F2658" s="475" t="s">
        <v>446</v>
      </c>
      <c r="G2658" s="476">
        <v>28</v>
      </c>
      <c r="H2658" s="475" t="s">
        <v>1429</v>
      </c>
      <c r="I2658" s="487" t="s">
        <v>1432</v>
      </c>
      <c r="J2658" s="509">
        <v>0</v>
      </c>
    </row>
    <row r="2659" spans="1:10" ht="20.25" customHeight="1">
      <c r="A2659" s="471">
        <v>5111</v>
      </c>
      <c r="B2659" s="474" t="s">
        <v>1217</v>
      </c>
      <c r="C2659" s="473">
        <v>1323</v>
      </c>
      <c r="D2659" s="478">
        <v>3145</v>
      </c>
      <c r="E2659" s="474">
        <v>40604</v>
      </c>
      <c r="F2659" s="475" t="s">
        <v>446</v>
      </c>
      <c r="G2659" s="476">
        <v>28</v>
      </c>
      <c r="H2659" s="475" t="s">
        <v>1429</v>
      </c>
      <c r="I2659" s="487" t="s">
        <v>1432</v>
      </c>
      <c r="J2659" s="509">
        <v>0</v>
      </c>
    </row>
    <row r="2660" spans="1:10" ht="20.25" customHeight="1">
      <c r="A2660" s="471">
        <v>5111</v>
      </c>
      <c r="B2660" s="474" t="s">
        <v>1217</v>
      </c>
      <c r="C2660" s="473">
        <v>1324</v>
      </c>
      <c r="D2660" s="478">
        <v>3145</v>
      </c>
      <c r="E2660" s="474">
        <v>40604</v>
      </c>
      <c r="F2660" s="475" t="s">
        <v>446</v>
      </c>
      <c r="G2660" s="476">
        <v>28</v>
      </c>
      <c r="H2660" s="475" t="s">
        <v>1429</v>
      </c>
      <c r="I2660" s="487" t="s">
        <v>1430</v>
      </c>
      <c r="J2660" s="509">
        <v>0</v>
      </c>
    </row>
    <row r="2661" spans="1:10" ht="20.25" customHeight="1">
      <c r="A2661" s="471">
        <v>5111</v>
      </c>
      <c r="B2661" s="474" t="s">
        <v>1217</v>
      </c>
      <c r="C2661" s="473">
        <v>1325</v>
      </c>
      <c r="D2661" s="478">
        <v>3145</v>
      </c>
      <c r="E2661" s="474">
        <v>40604</v>
      </c>
      <c r="F2661" s="475" t="s">
        <v>446</v>
      </c>
      <c r="G2661" s="476">
        <v>28</v>
      </c>
      <c r="H2661" s="475" t="s">
        <v>1429</v>
      </c>
      <c r="I2661" s="487" t="s">
        <v>1432</v>
      </c>
      <c r="J2661" s="509">
        <v>0</v>
      </c>
    </row>
    <row r="2662" spans="1:10" ht="20.25" customHeight="1">
      <c r="A2662" s="471">
        <v>5111</v>
      </c>
      <c r="B2662" s="474" t="s">
        <v>1217</v>
      </c>
      <c r="C2662" s="473">
        <v>1326</v>
      </c>
      <c r="D2662" s="478">
        <v>3145</v>
      </c>
      <c r="E2662" s="474">
        <v>40604</v>
      </c>
      <c r="F2662" s="475" t="s">
        <v>446</v>
      </c>
      <c r="G2662" s="476">
        <v>28</v>
      </c>
      <c r="H2662" s="475" t="s">
        <v>1429</v>
      </c>
      <c r="I2662" s="487" t="s">
        <v>1433</v>
      </c>
      <c r="J2662" s="509">
        <v>0</v>
      </c>
    </row>
    <row r="2663" spans="1:10" ht="20.25" customHeight="1">
      <c r="A2663" s="471">
        <v>5111</v>
      </c>
      <c r="B2663" s="474" t="s">
        <v>1217</v>
      </c>
      <c r="C2663" s="473">
        <v>1327</v>
      </c>
      <c r="D2663" s="478">
        <v>3145</v>
      </c>
      <c r="E2663" s="474">
        <v>40604</v>
      </c>
      <c r="F2663" s="475" t="s">
        <v>446</v>
      </c>
      <c r="G2663" s="476">
        <v>28</v>
      </c>
      <c r="H2663" s="475" t="s">
        <v>1429</v>
      </c>
      <c r="I2663" s="487" t="s">
        <v>1433</v>
      </c>
      <c r="J2663" s="509">
        <v>0</v>
      </c>
    </row>
    <row r="2664" spans="1:10" ht="20.25" customHeight="1">
      <c r="A2664" s="471">
        <v>5111</v>
      </c>
      <c r="B2664" s="474" t="s">
        <v>1217</v>
      </c>
      <c r="C2664" s="473">
        <v>1328</v>
      </c>
      <c r="D2664" s="478">
        <v>3145</v>
      </c>
      <c r="E2664" s="474">
        <v>40604</v>
      </c>
      <c r="F2664" s="475" t="s">
        <v>446</v>
      </c>
      <c r="G2664" s="476">
        <v>28</v>
      </c>
      <c r="H2664" s="475" t="s">
        <v>1429</v>
      </c>
      <c r="I2664" s="487" t="s">
        <v>1433</v>
      </c>
      <c r="J2664" s="509">
        <v>0</v>
      </c>
    </row>
    <row r="2665" spans="1:10" ht="20.25" customHeight="1">
      <c r="A2665" s="471">
        <v>5111</v>
      </c>
      <c r="B2665" s="474" t="s">
        <v>1217</v>
      </c>
      <c r="C2665" s="473">
        <v>1329</v>
      </c>
      <c r="D2665" s="478">
        <v>3145</v>
      </c>
      <c r="E2665" s="474">
        <v>40604</v>
      </c>
      <c r="F2665" s="475" t="s">
        <v>446</v>
      </c>
      <c r="G2665" s="476">
        <v>28</v>
      </c>
      <c r="H2665" s="475" t="s">
        <v>1429</v>
      </c>
      <c r="I2665" s="487" t="s">
        <v>1434</v>
      </c>
      <c r="J2665" s="509">
        <v>0</v>
      </c>
    </row>
    <row r="2666" spans="1:10" ht="20.25" customHeight="1">
      <c r="A2666" s="471">
        <v>5111</v>
      </c>
      <c r="B2666" s="474" t="s">
        <v>1217</v>
      </c>
      <c r="C2666" s="473">
        <v>1335</v>
      </c>
      <c r="D2666" s="478">
        <v>3145</v>
      </c>
      <c r="E2666" s="474">
        <v>40604</v>
      </c>
      <c r="F2666" s="475" t="s">
        <v>446</v>
      </c>
      <c r="G2666" s="476">
        <v>28</v>
      </c>
      <c r="H2666" s="475" t="s">
        <v>1429</v>
      </c>
      <c r="I2666" s="487" t="s">
        <v>1430</v>
      </c>
      <c r="J2666" s="509">
        <v>0</v>
      </c>
    </row>
    <row r="2667" spans="1:10" ht="20.25" customHeight="1">
      <c r="A2667" s="471">
        <v>5111</v>
      </c>
      <c r="B2667" s="474" t="s">
        <v>1217</v>
      </c>
      <c r="C2667" s="473">
        <v>1345</v>
      </c>
      <c r="D2667" s="478">
        <v>3145</v>
      </c>
      <c r="E2667" s="474">
        <v>40604</v>
      </c>
      <c r="F2667" s="475" t="s">
        <v>446</v>
      </c>
      <c r="G2667" s="476">
        <v>28</v>
      </c>
      <c r="H2667" s="475" t="s">
        <v>1429</v>
      </c>
      <c r="I2667" s="487" t="s">
        <v>1435</v>
      </c>
      <c r="J2667" s="509">
        <v>0</v>
      </c>
    </row>
    <row r="2668" spans="1:10" ht="20.25" customHeight="1">
      <c r="A2668" s="471">
        <v>5111</v>
      </c>
      <c r="B2668" s="474" t="s">
        <v>1217</v>
      </c>
      <c r="C2668" s="473">
        <v>1346</v>
      </c>
      <c r="D2668" s="478">
        <v>3145</v>
      </c>
      <c r="E2668" s="474">
        <v>40604</v>
      </c>
      <c r="F2668" s="475" t="s">
        <v>446</v>
      </c>
      <c r="G2668" s="476">
        <v>28</v>
      </c>
      <c r="H2668" s="475" t="s">
        <v>1429</v>
      </c>
      <c r="I2668" s="487" t="s">
        <v>1430</v>
      </c>
      <c r="J2668" s="509">
        <v>0</v>
      </c>
    </row>
    <row r="2669" spans="1:10" ht="20.25" customHeight="1">
      <c r="A2669" s="471">
        <v>5111</v>
      </c>
      <c r="B2669" s="474" t="s">
        <v>1217</v>
      </c>
      <c r="C2669" s="473">
        <v>1357</v>
      </c>
      <c r="D2669" s="478">
        <v>3145</v>
      </c>
      <c r="E2669" s="474">
        <v>40604</v>
      </c>
      <c r="F2669" s="475" t="s">
        <v>446</v>
      </c>
      <c r="G2669" s="476">
        <v>28</v>
      </c>
      <c r="H2669" s="475" t="s">
        <v>1429</v>
      </c>
      <c r="I2669" s="487" t="s">
        <v>1430</v>
      </c>
      <c r="J2669" s="509">
        <v>0</v>
      </c>
    </row>
    <row r="2670" spans="1:10" ht="20.25" customHeight="1">
      <c r="A2670" s="471">
        <v>5111</v>
      </c>
      <c r="B2670" s="474" t="s">
        <v>1217</v>
      </c>
      <c r="C2670" s="473">
        <v>1362</v>
      </c>
      <c r="D2670" s="478">
        <v>3145</v>
      </c>
      <c r="E2670" s="474">
        <v>40604</v>
      </c>
      <c r="F2670" s="475" t="s">
        <v>446</v>
      </c>
      <c r="G2670" s="476">
        <v>28</v>
      </c>
      <c r="H2670" s="475" t="s">
        <v>1429</v>
      </c>
      <c r="I2670" s="487" t="s">
        <v>1436</v>
      </c>
      <c r="J2670" s="509">
        <v>0</v>
      </c>
    </row>
    <row r="2671" spans="1:10" ht="20.25" customHeight="1">
      <c r="A2671" s="471">
        <v>5111</v>
      </c>
      <c r="B2671" s="474" t="s">
        <v>1217</v>
      </c>
      <c r="C2671" s="473">
        <v>1363</v>
      </c>
      <c r="D2671" s="478">
        <v>3145</v>
      </c>
      <c r="E2671" s="474">
        <v>40604</v>
      </c>
      <c r="F2671" s="475" t="s">
        <v>446</v>
      </c>
      <c r="G2671" s="476">
        <v>28</v>
      </c>
      <c r="H2671" s="475" t="s">
        <v>1429</v>
      </c>
      <c r="I2671" s="487" t="s">
        <v>1436</v>
      </c>
      <c r="J2671" s="509">
        <v>0</v>
      </c>
    </row>
    <row r="2672" spans="1:10" ht="20.25" customHeight="1">
      <c r="A2672" s="471">
        <v>5111</v>
      </c>
      <c r="B2672" s="474" t="s">
        <v>1217</v>
      </c>
      <c r="C2672" s="473">
        <v>1364</v>
      </c>
      <c r="D2672" s="478">
        <v>3145</v>
      </c>
      <c r="E2672" s="474">
        <v>40604</v>
      </c>
      <c r="F2672" s="475" t="s">
        <v>446</v>
      </c>
      <c r="G2672" s="476">
        <v>28</v>
      </c>
      <c r="H2672" s="475" t="s">
        <v>1429</v>
      </c>
      <c r="I2672" s="487" t="s">
        <v>1436</v>
      </c>
      <c r="J2672" s="509">
        <v>0</v>
      </c>
    </row>
    <row r="2673" spans="1:10" ht="20.25" customHeight="1">
      <c r="A2673" s="471">
        <v>5111</v>
      </c>
      <c r="B2673" s="474" t="s">
        <v>1217</v>
      </c>
      <c r="C2673" s="473">
        <v>1365</v>
      </c>
      <c r="D2673" s="478">
        <v>3145</v>
      </c>
      <c r="E2673" s="474">
        <v>40604</v>
      </c>
      <c r="F2673" s="475" t="s">
        <v>446</v>
      </c>
      <c r="G2673" s="476">
        <v>28</v>
      </c>
      <c r="H2673" s="475" t="s">
        <v>1429</v>
      </c>
      <c r="I2673" s="487" t="s">
        <v>1436</v>
      </c>
      <c r="J2673" s="509">
        <v>0</v>
      </c>
    </row>
    <row r="2674" spans="1:10" ht="20.25" customHeight="1">
      <c r="A2674" s="471">
        <v>5111</v>
      </c>
      <c r="B2674" s="474" t="s">
        <v>1217</v>
      </c>
      <c r="C2674" s="473">
        <v>1366</v>
      </c>
      <c r="D2674" s="478">
        <v>3145</v>
      </c>
      <c r="E2674" s="474">
        <v>40604</v>
      </c>
      <c r="F2674" s="475" t="s">
        <v>446</v>
      </c>
      <c r="G2674" s="476">
        <v>28</v>
      </c>
      <c r="H2674" s="475" t="s">
        <v>1429</v>
      </c>
      <c r="I2674" s="487" t="s">
        <v>1436</v>
      </c>
      <c r="J2674" s="509">
        <v>0</v>
      </c>
    </row>
    <row r="2675" spans="1:10" ht="20.25" customHeight="1">
      <c r="A2675" s="471">
        <v>5111</v>
      </c>
      <c r="B2675" s="474" t="s">
        <v>1217</v>
      </c>
      <c r="C2675" s="473">
        <v>1367</v>
      </c>
      <c r="D2675" s="478">
        <v>3145</v>
      </c>
      <c r="E2675" s="474">
        <v>40604</v>
      </c>
      <c r="F2675" s="475" t="s">
        <v>446</v>
      </c>
      <c r="G2675" s="476">
        <v>28</v>
      </c>
      <c r="H2675" s="475" t="s">
        <v>1429</v>
      </c>
      <c r="I2675" s="487" t="s">
        <v>1436</v>
      </c>
      <c r="J2675" s="509">
        <v>0</v>
      </c>
    </row>
    <row r="2676" spans="1:10" ht="20.25" customHeight="1">
      <c r="A2676" s="471">
        <v>5111</v>
      </c>
      <c r="B2676" s="474" t="s">
        <v>1217</v>
      </c>
      <c r="C2676" s="473">
        <v>1368</v>
      </c>
      <c r="D2676" s="478">
        <v>3145</v>
      </c>
      <c r="E2676" s="474">
        <v>40604</v>
      </c>
      <c r="F2676" s="475" t="s">
        <v>446</v>
      </c>
      <c r="G2676" s="476">
        <v>28</v>
      </c>
      <c r="H2676" s="475" t="s">
        <v>1429</v>
      </c>
      <c r="I2676" s="487" t="s">
        <v>1430</v>
      </c>
      <c r="J2676" s="509">
        <v>0</v>
      </c>
    </row>
    <row r="2677" spans="1:10" ht="20.25" customHeight="1">
      <c r="A2677" s="471">
        <v>5111</v>
      </c>
      <c r="B2677" s="474" t="s">
        <v>1217</v>
      </c>
      <c r="C2677" s="473">
        <v>1369</v>
      </c>
      <c r="D2677" s="478">
        <v>3145</v>
      </c>
      <c r="E2677" s="474">
        <v>40604</v>
      </c>
      <c r="F2677" s="475" t="s">
        <v>446</v>
      </c>
      <c r="G2677" s="476">
        <v>28</v>
      </c>
      <c r="H2677" s="475" t="s">
        <v>1429</v>
      </c>
      <c r="I2677" s="487" t="s">
        <v>1436</v>
      </c>
      <c r="J2677" s="509">
        <v>0</v>
      </c>
    </row>
    <row r="2678" spans="1:10" ht="20.25" customHeight="1">
      <c r="A2678" s="471">
        <v>5111</v>
      </c>
      <c r="B2678" s="474" t="s">
        <v>1217</v>
      </c>
      <c r="C2678" s="473">
        <v>1370</v>
      </c>
      <c r="D2678" s="478">
        <v>3145</v>
      </c>
      <c r="E2678" s="474">
        <v>40604</v>
      </c>
      <c r="F2678" s="475" t="s">
        <v>446</v>
      </c>
      <c r="G2678" s="476">
        <v>28</v>
      </c>
      <c r="H2678" s="475" t="s">
        <v>1429</v>
      </c>
      <c r="I2678" s="487" t="s">
        <v>1436</v>
      </c>
      <c r="J2678" s="509">
        <v>0</v>
      </c>
    </row>
    <row r="2679" spans="1:10" ht="20.25" customHeight="1">
      <c r="A2679" s="471">
        <v>5111</v>
      </c>
      <c r="B2679" s="474" t="s">
        <v>1217</v>
      </c>
      <c r="C2679" s="473">
        <v>1371</v>
      </c>
      <c r="D2679" s="478">
        <v>3145</v>
      </c>
      <c r="E2679" s="474">
        <v>40604</v>
      </c>
      <c r="F2679" s="475" t="s">
        <v>446</v>
      </c>
      <c r="G2679" s="476">
        <v>28</v>
      </c>
      <c r="H2679" s="475" t="s">
        <v>1429</v>
      </c>
      <c r="I2679" s="487" t="s">
        <v>1437</v>
      </c>
      <c r="J2679" s="509">
        <v>0</v>
      </c>
    </row>
    <row r="2680" spans="1:10" ht="20.25" customHeight="1">
      <c r="A2680" s="471">
        <v>5111</v>
      </c>
      <c r="B2680" s="474" t="s">
        <v>1217</v>
      </c>
      <c r="C2680" s="473">
        <v>1372</v>
      </c>
      <c r="D2680" s="478">
        <v>3145</v>
      </c>
      <c r="E2680" s="474">
        <v>40604</v>
      </c>
      <c r="F2680" s="475" t="s">
        <v>446</v>
      </c>
      <c r="G2680" s="476">
        <v>28</v>
      </c>
      <c r="H2680" s="475" t="s">
        <v>1429</v>
      </c>
      <c r="I2680" s="487" t="s">
        <v>1437</v>
      </c>
      <c r="J2680" s="509">
        <v>0</v>
      </c>
    </row>
    <row r="2681" spans="1:10" ht="20.25" customHeight="1">
      <c r="A2681" s="471">
        <v>5111</v>
      </c>
      <c r="B2681" s="474" t="s">
        <v>1217</v>
      </c>
      <c r="C2681" s="473">
        <v>1373</v>
      </c>
      <c r="D2681" s="478">
        <v>3145</v>
      </c>
      <c r="E2681" s="474">
        <v>40604</v>
      </c>
      <c r="F2681" s="475" t="s">
        <v>446</v>
      </c>
      <c r="G2681" s="476">
        <v>28</v>
      </c>
      <c r="H2681" s="475" t="s">
        <v>1429</v>
      </c>
      <c r="I2681" s="487" t="s">
        <v>1437</v>
      </c>
      <c r="J2681" s="509">
        <v>0</v>
      </c>
    </row>
    <row r="2682" spans="1:10" ht="20.25" customHeight="1">
      <c r="A2682" s="471">
        <v>5111</v>
      </c>
      <c r="B2682" s="474" t="s">
        <v>1217</v>
      </c>
      <c r="C2682" s="473">
        <v>1374</v>
      </c>
      <c r="D2682" s="478">
        <v>3145</v>
      </c>
      <c r="E2682" s="474">
        <v>40604</v>
      </c>
      <c r="F2682" s="475" t="s">
        <v>446</v>
      </c>
      <c r="G2682" s="476">
        <v>28</v>
      </c>
      <c r="H2682" s="475" t="s">
        <v>1429</v>
      </c>
      <c r="I2682" s="487" t="s">
        <v>1437</v>
      </c>
      <c r="J2682" s="509">
        <v>0</v>
      </c>
    </row>
    <row r="2683" spans="1:10" ht="20.25" customHeight="1">
      <c r="A2683" s="471">
        <v>5111</v>
      </c>
      <c r="B2683" s="474" t="s">
        <v>1217</v>
      </c>
      <c r="C2683" s="473">
        <v>1375</v>
      </c>
      <c r="D2683" s="478">
        <v>3145</v>
      </c>
      <c r="E2683" s="474">
        <v>40604</v>
      </c>
      <c r="F2683" s="475" t="s">
        <v>446</v>
      </c>
      <c r="G2683" s="476">
        <v>28</v>
      </c>
      <c r="H2683" s="475" t="s">
        <v>1429</v>
      </c>
      <c r="I2683" s="487" t="s">
        <v>1437</v>
      </c>
      <c r="J2683" s="509">
        <v>0</v>
      </c>
    </row>
    <row r="2684" spans="1:10" ht="20.25" customHeight="1">
      <c r="A2684" s="471">
        <v>5111</v>
      </c>
      <c r="B2684" s="474" t="s">
        <v>1217</v>
      </c>
      <c r="C2684" s="473">
        <v>1376</v>
      </c>
      <c r="D2684" s="478">
        <v>3145</v>
      </c>
      <c r="E2684" s="474">
        <v>40604</v>
      </c>
      <c r="F2684" s="475" t="s">
        <v>446</v>
      </c>
      <c r="G2684" s="476">
        <v>28</v>
      </c>
      <c r="H2684" s="475" t="s">
        <v>1429</v>
      </c>
      <c r="I2684" s="487" t="s">
        <v>1437</v>
      </c>
      <c r="J2684" s="509">
        <v>0</v>
      </c>
    </row>
    <row r="2685" spans="1:10" ht="20.25" customHeight="1">
      <c r="A2685" s="471">
        <v>5111</v>
      </c>
      <c r="B2685" s="474" t="s">
        <v>1217</v>
      </c>
      <c r="C2685" s="473">
        <v>1377</v>
      </c>
      <c r="D2685" s="478">
        <v>3145</v>
      </c>
      <c r="E2685" s="474">
        <v>40604</v>
      </c>
      <c r="F2685" s="475" t="s">
        <v>446</v>
      </c>
      <c r="G2685" s="476">
        <v>28</v>
      </c>
      <c r="H2685" s="475" t="s">
        <v>1429</v>
      </c>
      <c r="I2685" s="487" t="s">
        <v>1437</v>
      </c>
      <c r="J2685" s="509">
        <v>0</v>
      </c>
    </row>
    <row r="2686" spans="1:10" ht="20.25" customHeight="1">
      <c r="A2686" s="471">
        <v>5111</v>
      </c>
      <c r="B2686" s="474" t="s">
        <v>1217</v>
      </c>
      <c r="C2686" s="473">
        <v>1378</v>
      </c>
      <c r="D2686" s="478">
        <v>3145</v>
      </c>
      <c r="E2686" s="474">
        <v>40604</v>
      </c>
      <c r="F2686" s="475" t="s">
        <v>446</v>
      </c>
      <c r="G2686" s="476">
        <v>28</v>
      </c>
      <c r="H2686" s="475" t="s">
        <v>1429</v>
      </c>
      <c r="I2686" s="487" t="s">
        <v>1437</v>
      </c>
      <c r="J2686" s="509">
        <v>0</v>
      </c>
    </row>
    <row r="2687" spans="1:10" ht="20.25" customHeight="1">
      <c r="A2687" s="471">
        <v>5111</v>
      </c>
      <c r="B2687" s="474" t="s">
        <v>1217</v>
      </c>
      <c r="C2687" s="473">
        <v>1379</v>
      </c>
      <c r="D2687" s="478">
        <v>3145</v>
      </c>
      <c r="E2687" s="474">
        <v>40604</v>
      </c>
      <c r="F2687" s="475" t="s">
        <v>446</v>
      </c>
      <c r="G2687" s="476">
        <v>28</v>
      </c>
      <c r="H2687" s="475" t="s">
        <v>1429</v>
      </c>
      <c r="I2687" s="487" t="s">
        <v>1430</v>
      </c>
      <c r="J2687" s="509">
        <v>0</v>
      </c>
    </row>
    <row r="2688" spans="1:10" ht="20.25" customHeight="1">
      <c r="A2688" s="471">
        <v>5111</v>
      </c>
      <c r="B2688" s="474" t="s">
        <v>1217</v>
      </c>
      <c r="C2688" s="473">
        <v>1380</v>
      </c>
      <c r="D2688" s="478">
        <v>3145</v>
      </c>
      <c r="E2688" s="474">
        <v>40604</v>
      </c>
      <c r="F2688" s="475" t="s">
        <v>468</v>
      </c>
      <c r="G2688" s="476">
        <v>28</v>
      </c>
      <c r="H2688" s="475" t="s">
        <v>1429</v>
      </c>
      <c r="I2688" s="487" t="s">
        <v>1431</v>
      </c>
      <c r="J2688" s="509">
        <v>0</v>
      </c>
    </row>
    <row r="2689" spans="1:10" ht="20.25" customHeight="1">
      <c r="A2689" s="471">
        <v>5111</v>
      </c>
      <c r="B2689" s="474" t="s">
        <v>1217</v>
      </c>
      <c r="C2689" s="473">
        <v>1381</v>
      </c>
      <c r="D2689" s="478">
        <v>3145</v>
      </c>
      <c r="E2689" s="474">
        <v>40604</v>
      </c>
      <c r="F2689" s="475" t="s">
        <v>468</v>
      </c>
      <c r="G2689" s="476">
        <v>28</v>
      </c>
      <c r="H2689" s="475" t="s">
        <v>1429</v>
      </c>
      <c r="I2689" s="487" t="s">
        <v>1431</v>
      </c>
      <c r="J2689" s="509">
        <v>0</v>
      </c>
    </row>
    <row r="2690" spans="1:10" ht="20.25" customHeight="1">
      <c r="A2690" s="471">
        <v>5111</v>
      </c>
      <c r="B2690" s="474" t="s">
        <v>1217</v>
      </c>
      <c r="C2690" s="473">
        <v>1382</v>
      </c>
      <c r="D2690" s="478">
        <v>3145</v>
      </c>
      <c r="E2690" s="474">
        <v>40604</v>
      </c>
      <c r="F2690" s="475" t="s">
        <v>468</v>
      </c>
      <c r="G2690" s="476">
        <v>28</v>
      </c>
      <c r="H2690" s="475" t="s">
        <v>1429</v>
      </c>
      <c r="I2690" s="487" t="s">
        <v>1431</v>
      </c>
      <c r="J2690" s="509">
        <v>0</v>
      </c>
    </row>
    <row r="2691" spans="1:10" ht="20.25" customHeight="1">
      <c r="A2691" s="471">
        <v>5111</v>
      </c>
      <c r="B2691" s="474" t="s">
        <v>1217</v>
      </c>
      <c r="C2691" s="473">
        <v>1383</v>
      </c>
      <c r="D2691" s="478">
        <v>3145</v>
      </c>
      <c r="E2691" s="474">
        <v>40604</v>
      </c>
      <c r="F2691" s="475" t="s">
        <v>468</v>
      </c>
      <c r="G2691" s="476">
        <v>28</v>
      </c>
      <c r="H2691" s="475" t="s">
        <v>1429</v>
      </c>
      <c r="I2691" s="487" t="s">
        <v>1431</v>
      </c>
      <c r="J2691" s="509">
        <v>0</v>
      </c>
    </row>
    <row r="2692" spans="1:10" ht="20.25" customHeight="1">
      <c r="A2692" s="471">
        <v>5111</v>
      </c>
      <c r="B2692" s="474" t="s">
        <v>1217</v>
      </c>
      <c r="C2692" s="473">
        <v>1384</v>
      </c>
      <c r="D2692" s="478">
        <v>3145</v>
      </c>
      <c r="E2692" s="474">
        <v>40604</v>
      </c>
      <c r="F2692" s="475" t="s">
        <v>468</v>
      </c>
      <c r="G2692" s="476">
        <v>28</v>
      </c>
      <c r="H2692" s="475" t="s">
        <v>1429</v>
      </c>
      <c r="I2692" s="487" t="s">
        <v>1431</v>
      </c>
      <c r="J2692" s="509">
        <v>0</v>
      </c>
    </row>
    <row r="2693" spans="1:10" ht="20.25" customHeight="1">
      <c r="A2693" s="471">
        <v>5111</v>
      </c>
      <c r="B2693" s="474" t="s">
        <v>1217</v>
      </c>
      <c r="C2693" s="473">
        <v>1385</v>
      </c>
      <c r="D2693" s="478">
        <v>3145</v>
      </c>
      <c r="E2693" s="474">
        <v>40604</v>
      </c>
      <c r="F2693" s="475" t="s">
        <v>468</v>
      </c>
      <c r="G2693" s="476">
        <v>28</v>
      </c>
      <c r="H2693" s="475" t="s">
        <v>1429</v>
      </c>
      <c r="I2693" s="487" t="s">
        <v>1431</v>
      </c>
      <c r="J2693" s="509">
        <v>0</v>
      </c>
    </row>
    <row r="2694" spans="1:10" ht="20.25" customHeight="1">
      <c r="A2694" s="471">
        <v>5111</v>
      </c>
      <c r="B2694" s="474" t="s">
        <v>1217</v>
      </c>
      <c r="C2694" s="473">
        <v>1386</v>
      </c>
      <c r="D2694" s="478">
        <v>3145</v>
      </c>
      <c r="E2694" s="474">
        <v>40604</v>
      </c>
      <c r="F2694" s="475" t="s">
        <v>468</v>
      </c>
      <c r="G2694" s="476">
        <v>28</v>
      </c>
      <c r="H2694" s="475" t="s">
        <v>1429</v>
      </c>
      <c r="I2694" s="487" t="s">
        <v>1431</v>
      </c>
      <c r="J2694" s="509">
        <v>0</v>
      </c>
    </row>
    <row r="2695" spans="1:10" ht="20.25" customHeight="1">
      <c r="A2695" s="471">
        <v>5111</v>
      </c>
      <c r="B2695" s="474" t="s">
        <v>1217</v>
      </c>
      <c r="C2695" s="473">
        <v>1387</v>
      </c>
      <c r="D2695" s="478">
        <v>3145</v>
      </c>
      <c r="E2695" s="474">
        <v>40604</v>
      </c>
      <c r="F2695" s="475" t="s">
        <v>468</v>
      </c>
      <c r="G2695" s="476">
        <v>28</v>
      </c>
      <c r="H2695" s="475" t="s">
        <v>1429</v>
      </c>
      <c r="I2695" s="487" t="s">
        <v>1431</v>
      </c>
      <c r="J2695" s="509">
        <v>0</v>
      </c>
    </row>
    <row r="2696" spans="1:10" ht="20.25" customHeight="1">
      <c r="A2696" s="471">
        <v>5111</v>
      </c>
      <c r="B2696" s="474" t="s">
        <v>1217</v>
      </c>
      <c r="C2696" s="473">
        <v>1388</v>
      </c>
      <c r="D2696" s="478">
        <v>3145</v>
      </c>
      <c r="E2696" s="474">
        <v>40604</v>
      </c>
      <c r="F2696" s="475" t="s">
        <v>468</v>
      </c>
      <c r="G2696" s="476">
        <v>28</v>
      </c>
      <c r="H2696" s="475" t="s">
        <v>1429</v>
      </c>
      <c r="I2696" s="487" t="s">
        <v>1431</v>
      </c>
      <c r="J2696" s="509">
        <v>0</v>
      </c>
    </row>
    <row r="2697" spans="1:10" ht="20.25" customHeight="1">
      <c r="A2697" s="471">
        <v>5111</v>
      </c>
      <c r="B2697" s="474" t="s">
        <v>1217</v>
      </c>
      <c r="C2697" s="473">
        <v>1389</v>
      </c>
      <c r="D2697" s="478">
        <v>3145</v>
      </c>
      <c r="E2697" s="474">
        <v>40604</v>
      </c>
      <c r="F2697" s="475" t="s">
        <v>468</v>
      </c>
      <c r="G2697" s="476">
        <v>28</v>
      </c>
      <c r="H2697" s="475" t="s">
        <v>1429</v>
      </c>
      <c r="I2697" s="487" t="s">
        <v>1431</v>
      </c>
      <c r="J2697" s="509">
        <v>0</v>
      </c>
    </row>
    <row r="2698" spans="1:10" ht="20.25" customHeight="1">
      <c r="A2698" s="471">
        <v>5111</v>
      </c>
      <c r="B2698" s="474" t="s">
        <v>1217</v>
      </c>
      <c r="C2698" s="473">
        <v>1390</v>
      </c>
      <c r="D2698" s="478">
        <v>3145</v>
      </c>
      <c r="E2698" s="474">
        <v>40604</v>
      </c>
      <c r="F2698" s="475" t="s">
        <v>446</v>
      </c>
      <c r="G2698" s="476">
        <v>28</v>
      </c>
      <c r="H2698" s="475" t="s">
        <v>1429</v>
      </c>
      <c r="I2698" s="487" t="s">
        <v>1430</v>
      </c>
      <c r="J2698" s="509">
        <v>196156</v>
      </c>
    </row>
    <row r="2699" spans="1:10" ht="20.25" customHeight="1">
      <c r="A2699" s="471">
        <v>5111</v>
      </c>
      <c r="B2699" s="474" t="s">
        <v>1217</v>
      </c>
      <c r="C2699" s="473">
        <v>1391</v>
      </c>
      <c r="D2699" s="478">
        <v>1846</v>
      </c>
      <c r="E2699" s="474">
        <v>40610</v>
      </c>
      <c r="F2699" s="475" t="s">
        <v>446</v>
      </c>
      <c r="G2699" s="476">
        <v>75</v>
      </c>
      <c r="H2699" s="475" t="s">
        <v>1438</v>
      </c>
      <c r="I2699" s="487" t="s">
        <v>1439</v>
      </c>
      <c r="J2699" s="509">
        <v>0</v>
      </c>
    </row>
    <row r="2700" spans="1:10" ht="20.25" customHeight="1">
      <c r="A2700" s="471">
        <v>5111</v>
      </c>
      <c r="B2700" s="474" t="s">
        <v>1217</v>
      </c>
      <c r="C2700" s="473">
        <v>1392</v>
      </c>
      <c r="D2700" s="478">
        <v>1846</v>
      </c>
      <c r="E2700" s="474">
        <v>40610</v>
      </c>
      <c r="F2700" s="475" t="s">
        <v>446</v>
      </c>
      <c r="G2700" s="476">
        <v>75</v>
      </c>
      <c r="H2700" s="475" t="s">
        <v>1438</v>
      </c>
      <c r="I2700" s="487" t="s">
        <v>1439</v>
      </c>
      <c r="J2700" s="509">
        <v>0</v>
      </c>
    </row>
    <row r="2701" spans="1:10" ht="20.25" customHeight="1">
      <c r="A2701" s="471">
        <v>5631</v>
      </c>
      <c r="B2701" s="474" t="s">
        <v>1217</v>
      </c>
      <c r="C2701" s="473" t="s">
        <v>1080</v>
      </c>
      <c r="D2701" s="478">
        <v>1846</v>
      </c>
      <c r="E2701" s="474">
        <v>40610</v>
      </c>
      <c r="F2701" s="475" t="s">
        <v>446</v>
      </c>
      <c r="G2701" s="476">
        <v>75</v>
      </c>
      <c r="H2701" s="475" t="s">
        <v>1438</v>
      </c>
      <c r="I2701" s="487" t="s">
        <v>1440</v>
      </c>
      <c r="J2701" s="509">
        <v>0</v>
      </c>
    </row>
    <row r="2702" spans="1:10" ht="20.25" customHeight="1">
      <c r="A2702" s="471">
        <v>5631</v>
      </c>
      <c r="B2702" s="474" t="s">
        <v>1217</v>
      </c>
      <c r="C2702" s="473" t="s">
        <v>1099</v>
      </c>
      <c r="D2702" s="478">
        <v>1846</v>
      </c>
      <c r="E2702" s="474">
        <v>40610</v>
      </c>
      <c r="F2702" s="475" t="s">
        <v>446</v>
      </c>
      <c r="G2702" s="476">
        <v>75</v>
      </c>
      <c r="H2702" s="475" t="s">
        <v>1438</v>
      </c>
      <c r="I2702" s="487" t="s">
        <v>1504</v>
      </c>
      <c r="J2702" s="509">
        <v>0</v>
      </c>
    </row>
    <row r="2703" spans="1:10" ht="20.25" customHeight="1">
      <c r="A2703" s="471">
        <v>5631</v>
      </c>
      <c r="B2703" s="474" t="s">
        <v>1217</v>
      </c>
      <c r="C2703" s="473" t="s">
        <v>1100</v>
      </c>
      <c r="D2703" s="478">
        <v>1846</v>
      </c>
      <c r="E2703" s="474">
        <v>40610</v>
      </c>
      <c r="F2703" s="475" t="s">
        <v>446</v>
      </c>
      <c r="G2703" s="476">
        <v>75</v>
      </c>
      <c r="H2703" s="475" t="s">
        <v>1438</v>
      </c>
      <c r="I2703" s="487" t="s">
        <v>1504</v>
      </c>
      <c r="J2703" s="509">
        <v>0</v>
      </c>
    </row>
    <row r="2704" spans="1:10" ht="20.25" customHeight="1">
      <c r="A2704" s="471">
        <v>5631</v>
      </c>
      <c r="B2704" s="474" t="s">
        <v>1217</v>
      </c>
      <c r="C2704" s="473" t="s">
        <v>1101</v>
      </c>
      <c r="D2704" s="478">
        <v>1846</v>
      </c>
      <c r="E2704" s="474">
        <v>40610</v>
      </c>
      <c r="F2704" s="475" t="s">
        <v>446</v>
      </c>
      <c r="G2704" s="476">
        <v>75</v>
      </c>
      <c r="H2704" s="475" t="s">
        <v>1438</v>
      </c>
      <c r="I2704" s="487" t="s">
        <v>1504</v>
      </c>
      <c r="J2704" s="509">
        <v>0</v>
      </c>
    </row>
    <row r="2705" spans="1:10" ht="20.25" customHeight="1">
      <c r="A2705" s="471">
        <v>5631</v>
      </c>
      <c r="B2705" s="474" t="s">
        <v>1217</v>
      </c>
      <c r="C2705" s="473" t="s">
        <v>1102</v>
      </c>
      <c r="D2705" s="478">
        <v>1846</v>
      </c>
      <c r="E2705" s="474">
        <v>40610</v>
      </c>
      <c r="F2705" s="475" t="s">
        <v>446</v>
      </c>
      <c r="G2705" s="476">
        <v>75</v>
      </c>
      <c r="H2705" s="475" t="s">
        <v>1438</v>
      </c>
      <c r="I2705" s="487" t="s">
        <v>1504</v>
      </c>
      <c r="J2705" s="509">
        <v>0</v>
      </c>
    </row>
    <row r="2706" spans="1:10" ht="20.25" customHeight="1">
      <c r="A2706" s="471">
        <v>5631</v>
      </c>
      <c r="B2706" s="474" t="s">
        <v>1217</v>
      </c>
      <c r="C2706" s="473" t="s">
        <v>1104</v>
      </c>
      <c r="D2706" s="478">
        <v>1846</v>
      </c>
      <c r="E2706" s="474">
        <v>40610</v>
      </c>
      <c r="F2706" s="475" t="s">
        <v>446</v>
      </c>
      <c r="G2706" s="476">
        <v>75</v>
      </c>
      <c r="H2706" s="475" t="s">
        <v>1438</v>
      </c>
      <c r="I2706" s="487" t="s">
        <v>1504</v>
      </c>
      <c r="J2706" s="509">
        <v>0</v>
      </c>
    </row>
    <row r="2707" spans="1:10" ht="20.25" customHeight="1">
      <c r="A2707" s="471">
        <v>5631</v>
      </c>
      <c r="B2707" s="474" t="s">
        <v>1217</v>
      </c>
      <c r="C2707" s="473" t="s">
        <v>1106</v>
      </c>
      <c r="D2707" s="478">
        <v>1846</v>
      </c>
      <c r="E2707" s="474">
        <v>40610</v>
      </c>
      <c r="F2707" s="475" t="s">
        <v>446</v>
      </c>
      <c r="G2707" s="476">
        <v>75</v>
      </c>
      <c r="H2707" s="475" t="s">
        <v>1438</v>
      </c>
      <c r="I2707" s="487" t="s">
        <v>1441</v>
      </c>
      <c r="J2707" s="509">
        <v>199520</v>
      </c>
    </row>
    <row r="2708" spans="1:10" ht="20.25" customHeight="1">
      <c r="A2708" s="471">
        <v>5631</v>
      </c>
      <c r="B2708" s="474" t="s">
        <v>1217</v>
      </c>
      <c r="C2708" s="473" t="s">
        <v>1084</v>
      </c>
      <c r="D2708" s="478">
        <v>1846</v>
      </c>
      <c r="E2708" s="474">
        <v>40610</v>
      </c>
      <c r="F2708" s="475" t="s">
        <v>468</v>
      </c>
      <c r="G2708" s="476">
        <v>75</v>
      </c>
      <c r="H2708" s="475" t="s">
        <v>1438</v>
      </c>
      <c r="I2708" s="487" t="s">
        <v>1505</v>
      </c>
      <c r="J2708" s="509">
        <v>0</v>
      </c>
    </row>
    <row r="2709" spans="1:10" ht="20.25" customHeight="1">
      <c r="A2709" s="471">
        <v>5631</v>
      </c>
      <c r="B2709" s="474" t="s">
        <v>1217</v>
      </c>
      <c r="C2709" s="473" t="s">
        <v>1086</v>
      </c>
      <c r="D2709" s="478">
        <v>1846</v>
      </c>
      <c r="E2709" s="474">
        <v>40610</v>
      </c>
      <c r="F2709" s="475" t="s">
        <v>468</v>
      </c>
      <c r="G2709" s="476">
        <v>75</v>
      </c>
      <c r="H2709" s="475" t="s">
        <v>1438</v>
      </c>
      <c r="I2709" s="487" t="s">
        <v>1442</v>
      </c>
      <c r="J2709" s="509">
        <v>0</v>
      </c>
    </row>
    <row r="2710" spans="1:10" ht="20.25" customHeight="1">
      <c r="A2710" s="471">
        <v>5631</v>
      </c>
      <c r="B2710" s="474" t="s">
        <v>1217</v>
      </c>
      <c r="C2710" s="473" t="s">
        <v>1088</v>
      </c>
      <c r="D2710" s="478">
        <v>1846</v>
      </c>
      <c r="E2710" s="474">
        <v>40610</v>
      </c>
      <c r="F2710" s="475" t="s">
        <v>468</v>
      </c>
      <c r="G2710" s="476">
        <v>75</v>
      </c>
      <c r="H2710" s="475" t="s">
        <v>1438</v>
      </c>
      <c r="I2710" s="487" t="s">
        <v>1506</v>
      </c>
      <c r="J2710" s="509">
        <v>0</v>
      </c>
    </row>
    <row r="2711" spans="1:10" ht="20.25" customHeight="1">
      <c r="A2711" s="471">
        <v>5631</v>
      </c>
      <c r="B2711" s="474" t="s">
        <v>1217</v>
      </c>
      <c r="C2711" s="473" t="s">
        <v>1090</v>
      </c>
      <c r="D2711" s="478">
        <v>1846</v>
      </c>
      <c r="E2711" s="474">
        <v>40610</v>
      </c>
      <c r="F2711" s="475" t="s">
        <v>446</v>
      </c>
      <c r="G2711" s="476">
        <v>75</v>
      </c>
      <c r="H2711" s="475" t="s">
        <v>1438</v>
      </c>
      <c r="I2711" s="487" t="s">
        <v>1504</v>
      </c>
      <c r="J2711" s="509">
        <v>0</v>
      </c>
    </row>
    <row r="2712" spans="1:10" ht="20.25" customHeight="1">
      <c r="A2712" s="471">
        <v>5631</v>
      </c>
      <c r="B2712" s="474" t="s">
        <v>1217</v>
      </c>
      <c r="C2712" s="473" t="s">
        <v>1092</v>
      </c>
      <c r="D2712" s="478">
        <v>1846</v>
      </c>
      <c r="E2712" s="474">
        <v>40610</v>
      </c>
      <c r="F2712" s="475" t="s">
        <v>446</v>
      </c>
      <c r="G2712" s="476">
        <v>75</v>
      </c>
      <c r="H2712" s="475" t="s">
        <v>1438</v>
      </c>
      <c r="I2712" s="487" t="s">
        <v>1504</v>
      </c>
      <c r="J2712" s="509">
        <v>0</v>
      </c>
    </row>
    <row r="2713" spans="1:10" ht="20.25" customHeight="1">
      <c r="A2713" s="471">
        <v>5631</v>
      </c>
      <c r="B2713" s="474" t="s">
        <v>1217</v>
      </c>
      <c r="C2713" s="473" t="s">
        <v>1094</v>
      </c>
      <c r="D2713" s="478">
        <v>1846</v>
      </c>
      <c r="E2713" s="474">
        <v>40610</v>
      </c>
      <c r="F2713" s="475" t="s">
        <v>446</v>
      </c>
      <c r="G2713" s="476">
        <v>75</v>
      </c>
      <c r="H2713" s="475" t="s">
        <v>1438</v>
      </c>
      <c r="I2713" s="487" t="s">
        <v>1504</v>
      </c>
      <c r="J2713" s="509">
        <v>0</v>
      </c>
    </row>
    <row r="2714" spans="1:10" ht="20.25" customHeight="1">
      <c r="A2714" s="471">
        <v>5631</v>
      </c>
      <c r="B2714" s="474" t="s">
        <v>1217</v>
      </c>
      <c r="C2714" s="473" t="s">
        <v>1095</v>
      </c>
      <c r="D2714" s="478">
        <v>1846</v>
      </c>
      <c r="E2714" s="474">
        <v>40610</v>
      </c>
      <c r="F2714" s="475" t="s">
        <v>446</v>
      </c>
      <c r="G2714" s="476">
        <v>75</v>
      </c>
      <c r="H2714" s="475" t="s">
        <v>1438</v>
      </c>
      <c r="I2714" s="487" t="s">
        <v>1504</v>
      </c>
      <c r="J2714" s="509">
        <v>0</v>
      </c>
    </row>
    <row r="2715" spans="1:10" ht="20.25" customHeight="1">
      <c r="A2715" s="471">
        <v>5631</v>
      </c>
      <c r="B2715" s="474" t="s">
        <v>1217</v>
      </c>
      <c r="C2715" s="473" t="s">
        <v>1097</v>
      </c>
      <c r="D2715" s="478">
        <v>1846</v>
      </c>
      <c r="E2715" s="474">
        <v>40610</v>
      </c>
      <c r="F2715" s="475" t="s">
        <v>446</v>
      </c>
      <c r="G2715" s="476">
        <v>75</v>
      </c>
      <c r="H2715" s="475" t="s">
        <v>1438</v>
      </c>
      <c r="I2715" s="487" t="s">
        <v>1504</v>
      </c>
      <c r="J2715" s="509">
        <v>0</v>
      </c>
    </row>
    <row r="2716" spans="1:10" ht="20.25" customHeight="1">
      <c r="A2716" s="471">
        <v>5400</v>
      </c>
      <c r="B2716" s="474" t="s">
        <v>1217</v>
      </c>
      <c r="C2716" s="473">
        <v>6</v>
      </c>
      <c r="D2716" s="478" t="s">
        <v>1443</v>
      </c>
      <c r="E2716" s="474">
        <v>40882</v>
      </c>
      <c r="F2716" s="475" t="s">
        <v>877</v>
      </c>
      <c r="G2716" s="476" t="s">
        <v>1444</v>
      </c>
      <c r="H2716" s="475" t="s">
        <v>1445</v>
      </c>
      <c r="I2716" s="511" t="s">
        <v>893</v>
      </c>
      <c r="J2716" s="512">
        <v>376431.02</v>
      </c>
    </row>
    <row r="2717" spans="1:10" ht="20.25" customHeight="1">
      <c r="A2717" s="471">
        <v>5151</v>
      </c>
      <c r="B2717" s="474" t="s">
        <v>1217</v>
      </c>
      <c r="C2717" s="473" t="s">
        <v>1446</v>
      </c>
      <c r="D2717" s="478" t="s">
        <v>1447</v>
      </c>
      <c r="E2717" s="474" t="s">
        <v>1448</v>
      </c>
      <c r="F2717" s="475" t="s">
        <v>468</v>
      </c>
      <c r="G2717" s="476" t="s">
        <v>1444</v>
      </c>
      <c r="H2717" s="475" t="s">
        <v>1445</v>
      </c>
      <c r="I2717" s="513" t="s">
        <v>1449</v>
      </c>
      <c r="J2717" s="514">
        <v>74548.289999999994</v>
      </c>
    </row>
    <row r="2718" spans="1:10" ht="20.25" customHeight="1">
      <c r="A2718" s="471">
        <v>5151</v>
      </c>
      <c r="B2718" s="474" t="s">
        <v>1217</v>
      </c>
      <c r="C2718" s="473" t="s">
        <v>1450</v>
      </c>
      <c r="D2718" s="478" t="s">
        <v>1447</v>
      </c>
      <c r="E2718" s="474" t="s">
        <v>1448</v>
      </c>
      <c r="F2718" s="475" t="s">
        <v>468</v>
      </c>
      <c r="G2718" s="476" t="s">
        <v>1444</v>
      </c>
      <c r="H2718" s="475" t="s">
        <v>1445</v>
      </c>
      <c r="I2718" s="513" t="s">
        <v>1449</v>
      </c>
      <c r="J2718" s="514">
        <v>74548.289999999994</v>
      </c>
    </row>
    <row r="2719" spans="1:10" ht="20.25" customHeight="1">
      <c r="A2719" s="471">
        <v>5151</v>
      </c>
      <c r="B2719" s="474" t="s">
        <v>1217</v>
      </c>
      <c r="C2719" s="473" t="s">
        <v>1451</v>
      </c>
      <c r="D2719" s="478" t="s">
        <v>1447</v>
      </c>
      <c r="E2719" s="474" t="s">
        <v>1448</v>
      </c>
      <c r="F2719" s="475" t="s">
        <v>468</v>
      </c>
      <c r="G2719" s="476" t="s">
        <v>1444</v>
      </c>
      <c r="H2719" s="475" t="s">
        <v>1445</v>
      </c>
      <c r="I2719" s="513" t="s">
        <v>1449</v>
      </c>
      <c r="J2719" s="514">
        <v>74548.289999999994</v>
      </c>
    </row>
    <row r="2720" spans="1:10" ht="20.25" customHeight="1">
      <c r="A2720" s="471">
        <v>5151</v>
      </c>
      <c r="B2720" s="474" t="s">
        <v>1217</v>
      </c>
      <c r="C2720" s="473" t="s">
        <v>1452</v>
      </c>
      <c r="D2720" s="478" t="s">
        <v>1447</v>
      </c>
      <c r="E2720" s="474" t="s">
        <v>1448</v>
      </c>
      <c r="F2720" s="475" t="s">
        <v>468</v>
      </c>
      <c r="G2720" s="476" t="s">
        <v>1444</v>
      </c>
      <c r="H2720" s="475" t="s">
        <v>1445</v>
      </c>
      <c r="I2720" s="513" t="s">
        <v>1453</v>
      </c>
      <c r="J2720" s="509">
        <v>171680</v>
      </c>
    </row>
    <row r="2721" spans="1:10" ht="20.25" customHeight="1">
      <c r="A2721" s="471">
        <v>5151</v>
      </c>
      <c r="B2721" s="474" t="s">
        <v>1217</v>
      </c>
      <c r="C2721" s="473" t="s">
        <v>1454</v>
      </c>
      <c r="D2721" s="478" t="s">
        <v>1447</v>
      </c>
      <c r="E2721" s="474" t="s">
        <v>1448</v>
      </c>
      <c r="F2721" s="475" t="s">
        <v>446</v>
      </c>
      <c r="G2721" s="476" t="s">
        <v>1444</v>
      </c>
      <c r="H2721" s="475" t="s">
        <v>1445</v>
      </c>
      <c r="I2721" s="513" t="s">
        <v>1455</v>
      </c>
      <c r="J2721" s="509">
        <v>1573.6096</v>
      </c>
    </row>
    <row r="2722" spans="1:10" ht="20.25" customHeight="1">
      <c r="A2722" s="471">
        <v>5151</v>
      </c>
      <c r="B2722" s="474" t="s">
        <v>1217</v>
      </c>
      <c r="C2722" s="473" t="s">
        <v>1456</v>
      </c>
      <c r="D2722" s="478" t="s">
        <v>1447</v>
      </c>
      <c r="E2722" s="474" t="s">
        <v>1448</v>
      </c>
      <c r="F2722" s="475" t="s">
        <v>446</v>
      </c>
      <c r="G2722" s="476" t="s">
        <v>1444</v>
      </c>
      <c r="H2722" s="475" t="s">
        <v>1445</v>
      </c>
      <c r="I2722" s="513" t="s">
        <v>1455</v>
      </c>
      <c r="J2722" s="509">
        <v>1573.6096</v>
      </c>
    </row>
    <row r="2723" spans="1:10" ht="20.25" customHeight="1">
      <c r="A2723" s="471">
        <v>5151</v>
      </c>
      <c r="B2723" s="474" t="s">
        <v>1217</v>
      </c>
      <c r="C2723" s="473" t="s">
        <v>1457</v>
      </c>
      <c r="D2723" s="478" t="s">
        <v>1447</v>
      </c>
      <c r="E2723" s="474" t="s">
        <v>1448</v>
      </c>
      <c r="F2723" s="475" t="s">
        <v>446</v>
      </c>
      <c r="G2723" s="476" t="s">
        <v>1444</v>
      </c>
      <c r="H2723" s="475" t="s">
        <v>1445</v>
      </c>
      <c r="I2723" s="513" t="s">
        <v>1458</v>
      </c>
      <c r="J2723" s="509">
        <v>1365.5519999999999</v>
      </c>
    </row>
    <row r="2724" spans="1:10" ht="20.25" customHeight="1">
      <c r="A2724" s="471">
        <v>5151</v>
      </c>
      <c r="B2724" s="474" t="s">
        <v>1217</v>
      </c>
      <c r="C2724" s="473" t="s">
        <v>1459</v>
      </c>
      <c r="D2724" s="478" t="s">
        <v>1447</v>
      </c>
      <c r="E2724" s="474" t="s">
        <v>1448</v>
      </c>
      <c r="F2724" s="475" t="s">
        <v>446</v>
      </c>
      <c r="G2724" s="476" t="s">
        <v>1444</v>
      </c>
      <c r="H2724" s="475" t="s">
        <v>1445</v>
      </c>
      <c r="I2724" s="513" t="s">
        <v>1458</v>
      </c>
      <c r="J2724" s="509">
        <v>1365.5519999999999</v>
      </c>
    </row>
    <row r="2725" spans="1:10" ht="20.25" customHeight="1">
      <c r="A2725" s="471">
        <v>5151</v>
      </c>
      <c r="B2725" s="474" t="s">
        <v>1217</v>
      </c>
      <c r="C2725" s="473" t="s">
        <v>1460</v>
      </c>
      <c r="D2725" s="478" t="s">
        <v>1447</v>
      </c>
      <c r="E2725" s="474" t="s">
        <v>1448</v>
      </c>
      <c r="F2725" s="475" t="s">
        <v>446</v>
      </c>
      <c r="G2725" s="476" t="s">
        <v>1444</v>
      </c>
      <c r="H2725" s="475" t="s">
        <v>1445</v>
      </c>
      <c r="I2725" s="513" t="s">
        <v>1458</v>
      </c>
      <c r="J2725" s="509">
        <v>1365.5519999999999</v>
      </c>
    </row>
    <row r="2726" spans="1:10" ht="20.25" customHeight="1">
      <c r="A2726" s="471">
        <v>5151</v>
      </c>
      <c r="B2726" s="474" t="s">
        <v>1217</v>
      </c>
      <c r="C2726" s="473" t="s">
        <v>1461</v>
      </c>
      <c r="D2726" s="478" t="s">
        <v>1447</v>
      </c>
      <c r="E2726" s="474" t="s">
        <v>1448</v>
      </c>
      <c r="F2726" s="475" t="s">
        <v>446</v>
      </c>
      <c r="G2726" s="476" t="s">
        <v>1444</v>
      </c>
      <c r="H2726" s="475" t="s">
        <v>1445</v>
      </c>
      <c r="I2726" s="513" t="s">
        <v>1458</v>
      </c>
      <c r="J2726" s="509">
        <v>1365.5519999999999</v>
      </c>
    </row>
    <row r="2727" spans="1:10" ht="20.25" customHeight="1">
      <c r="A2727" s="471">
        <v>5151</v>
      </c>
      <c r="B2727" s="474" t="s">
        <v>1217</v>
      </c>
      <c r="C2727" s="473" t="s">
        <v>1462</v>
      </c>
      <c r="D2727" s="478" t="s">
        <v>1447</v>
      </c>
      <c r="E2727" s="474" t="s">
        <v>1448</v>
      </c>
      <c r="F2727" s="475" t="s">
        <v>446</v>
      </c>
      <c r="G2727" s="476" t="s">
        <v>1444</v>
      </c>
      <c r="H2727" s="475" t="s">
        <v>1445</v>
      </c>
      <c r="I2727" s="513" t="s">
        <v>1458</v>
      </c>
      <c r="J2727" s="509">
        <v>1365.5519999999999</v>
      </c>
    </row>
    <row r="2728" spans="1:10" ht="20.25" customHeight="1">
      <c r="A2728" s="471">
        <v>5151</v>
      </c>
      <c r="B2728" s="474" t="s">
        <v>1217</v>
      </c>
      <c r="C2728" s="473" t="s">
        <v>1463</v>
      </c>
      <c r="D2728" s="478" t="s">
        <v>1447</v>
      </c>
      <c r="E2728" s="474" t="s">
        <v>1448</v>
      </c>
      <c r="F2728" s="475" t="s">
        <v>446</v>
      </c>
      <c r="G2728" s="476" t="s">
        <v>1444</v>
      </c>
      <c r="H2728" s="475" t="s">
        <v>1445</v>
      </c>
      <c r="I2728" s="513" t="s">
        <v>1458</v>
      </c>
      <c r="J2728" s="509">
        <v>1365.5519999999999</v>
      </c>
    </row>
    <row r="2729" spans="1:10" ht="20.25" customHeight="1">
      <c r="A2729" s="471">
        <v>5151</v>
      </c>
      <c r="B2729" s="474" t="s">
        <v>1217</v>
      </c>
      <c r="C2729" s="473" t="s">
        <v>1464</v>
      </c>
      <c r="D2729" s="478" t="s">
        <v>1447</v>
      </c>
      <c r="E2729" s="474" t="s">
        <v>1448</v>
      </c>
      <c r="F2729" s="475" t="s">
        <v>468</v>
      </c>
      <c r="G2729" s="476" t="s">
        <v>1444</v>
      </c>
      <c r="H2729" s="475" t="s">
        <v>1445</v>
      </c>
      <c r="I2729" s="513" t="s">
        <v>1465</v>
      </c>
      <c r="J2729" s="509">
        <v>36250</v>
      </c>
    </row>
    <row r="2730" spans="1:10" ht="20.25" customHeight="1">
      <c r="A2730" s="471">
        <v>5151</v>
      </c>
      <c r="B2730" s="474" t="s">
        <v>1217</v>
      </c>
      <c r="C2730" s="473" t="s">
        <v>1466</v>
      </c>
      <c r="D2730" s="478" t="s">
        <v>1447</v>
      </c>
      <c r="E2730" s="474" t="s">
        <v>1448</v>
      </c>
      <c r="F2730" s="475" t="s">
        <v>468</v>
      </c>
      <c r="G2730" s="476" t="s">
        <v>1444</v>
      </c>
      <c r="H2730" s="475" t="s">
        <v>1445</v>
      </c>
      <c r="I2730" s="513" t="s">
        <v>1465</v>
      </c>
      <c r="J2730" s="509">
        <v>36250</v>
      </c>
    </row>
    <row r="2731" spans="1:10" ht="20.25" customHeight="1">
      <c r="A2731" s="471">
        <v>5151</v>
      </c>
      <c r="B2731" s="474" t="s">
        <v>1217</v>
      </c>
      <c r="C2731" s="473" t="s">
        <v>1467</v>
      </c>
      <c r="D2731" s="478" t="s">
        <v>1447</v>
      </c>
      <c r="E2731" s="474" t="s">
        <v>1448</v>
      </c>
      <c r="F2731" s="475" t="s">
        <v>446</v>
      </c>
      <c r="G2731" s="476" t="s">
        <v>1444</v>
      </c>
      <c r="H2731" s="475" t="s">
        <v>1445</v>
      </c>
      <c r="I2731" s="513" t="s">
        <v>1468</v>
      </c>
      <c r="J2731" s="509">
        <v>1307.32</v>
      </c>
    </row>
    <row r="2732" spans="1:10" ht="20.25" customHeight="1">
      <c r="A2732" s="471">
        <v>5151</v>
      </c>
      <c r="B2732" s="474" t="s">
        <v>1217</v>
      </c>
      <c r="C2732" s="473" t="s">
        <v>1469</v>
      </c>
      <c r="D2732" s="478" t="s">
        <v>1447</v>
      </c>
      <c r="E2732" s="474" t="s">
        <v>1448</v>
      </c>
      <c r="F2732" s="475" t="s">
        <v>446</v>
      </c>
      <c r="G2732" s="476" t="s">
        <v>1444</v>
      </c>
      <c r="H2732" s="475" t="s">
        <v>1445</v>
      </c>
      <c r="I2732" s="513" t="s">
        <v>1468</v>
      </c>
      <c r="J2732" s="509">
        <v>1307.32</v>
      </c>
    </row>
    <row r="2733" spans="1:10" ht="20.25" customHeight="1">
      <c r="A2733" s="471">
        <v>5151</v>
      </c>
      <c r="B2733" s="474" t="s">
        <v>1217</v>
      </c>
      <c r="C2733" s="473" t="s">
        <v>1470</v>
      </c>
      <c r="D2733" s="478" t="s">
        <v>1447</v>
      </c>
      <c r="E2733" s="474" t="s">
        <v>1448</v>
      </c>
      <c r="F2733" s="475" t="s">
        <v>446</v>
      </c>
      <c r="G2733" s="476" t="s">
        <v>1444</v>
      </c>
      <c r="H2733" s="475" t="s">
        <v>1445</v>
      </c>
      <c r="I2733" s="513" t="s">
        <v>1468</v>
      </c>
      <c r="J2733" s="509">
        <v>1307.32</v>
      </c>
    </row>
    <row r="2734" spans="1:10" ht="20.25" customHeight="1">
      <c r="A2734" s="471">
        <v>5151</v>
      </c>
      <c r="B2734" s="474" t="s">
        <v>1217</v>
      </c>
      <c r="C2734" s="473" t="s">
        <v>1471</v>
      </c>
      <c r="D2734" s="478" t="s">
        <v>1447</v>
      </c>
      <c r="E2734" s="474" t="s">
        <v>1448</v>
      </c>
      <c r="F2734" s="475" t="s">
        <v>446</v>
      </c>
      <c r="G2734" s="476" t="s">
        <v>1444</v>
      </c>
      <c r="H2734" s="475" t="s">
        <v>1445</v>
      </c>
      <c r="I2734" s="513" t="s">
        <v>1468</v>
      </c>
      <c r="J2734" s="509">
        <v>1307.32</v>
      </c>
    </row>
    <row r="2735" spans="1:10" ht="20.25" customHeight="1">
      <c r="A2735" s="471">
        <v>5151</v>
      </c>
      <c r="B2735" s="474" t="s">
        <v>1217</v>
      </c>
      <c r="C2735" s="473" t="s">
        <v>1472</v>
      </c>
      <c r="D2735" s="478" t="s">
        <v>1447</v>
      </c>
      <c r="E2735" s="474" t="s">
        <v>1448</v>
      </c>
      <c r="F2735" s="475" t="s">
        <v>446</v>
      </c>
      <c r="G2735" s="476" t="s">
        <v>1444</v>
      </c>
      <c r="H2735" s="475" t="s">
        <v>1445</v>
      </c>
      <c r="I2735" s="513" t="s">
        <v>1468</v>
      </c>
      <c r="J2735" s="509">
        <v>1307.32</v>
      </c>
    </row>
    <row r="2736" spans="1:10" ht="20.25" customHeight="1">
      <c r="A2736" s="471">
        <v>5151</v>
      </c>
      <c r="B2736" s="474" t="s">
        <v>1217</v>
      </c>
      <c r="C2736" s="473" t="s">
        <v>1473</v>
      </c>
      <c r="D2736" s="478" t="s">
        <v>1447</v>
      </c>
      <c r="E2736" s="474" t="s">
        <v>1448</v>
      </c>
      <c r="F2736" s="475" t="s">
        <v>446</v>
      </c>
      <c r="G2736" s="476" t="s">
        <v>1444</v>
      </c>
      <c r="H2736" s="475" t="s">
        <v>1445</v>
      </c>
      <c r="I2736" s="513" t="s">
        <v>1468</v>
      </c>
      <c r="J2736" s="509">
        <v>1307.32</v>
      </c>
    </row>
    <row r="2737" spans="1:10" ht="20.25" customHeight="1">
      <c r="A2737" s="471">
        <v>5151</v>
      </c>
      <c r="B2737" s="474" t="s">
        <v>1217</v>
      </c>
      <c r="C2737" s="473" t="s">
        <v>1474</v>
      </c>
      <c r="D2737" s="478" t="s">
        <v>1447</v>
      </c>
      <c r="E2737" s="474" t="s">
        <v>1448</v>
      </c>
      <c r="F2737" s="475" t="s">
        <v>446</v>
      </c>
      <c r="G2737" s="476" t="s">
        <v>1444</v>
      </c>
      <c r="H2737" s="475" t="s">
        <v>1445</v>
      </c>
      <c r="I2737" s="513" t="s">
        <v>1475</v>
      </c>
      <c r="J2737" s="509">
        <v>1273.8833</v>
      </c>
    </row>
    <row r="2738" spans="1:10" ht="20.25" customHeight="1">
      <c r="A2738" s="471">
        <v>5151</v>
      </c>
      <c r="B2738" s="474" t="s">
        <v>1217</v>
      </c>
      <c r="C2738" s="473" t="s">
        <v>1476</v>
      </c>
      <c r="D2738" s="478" t="s">
        <v>1447</v>
      </c>
      <c r="E2738" s="474" t="s">
        <v>1448</v>
      </c>
      <c r="F2738" s="475" t="s">
        <v>446</v>
      </c>
      <c r="G2738" s="476" t="s">
        <v>1444</v>
      </c>
      <c r="H2738" s="475" t="s">
        <v>1445</v>
      </c>
      <c r="I2738" s="513" t="s">
        <v>1475</v>
      </c>
      <c r="J2738" s="509">
        <v>1273.8833</v>
      </c>
    </row>
    <row r="2739" spans="1:10" ht="20.25" customHeight="1">
      <c r="A2739" s="471">
        <v>5151</v>
      </c>
      <c r="B2739" s="474" t="s">
        <v>1217</v>
      </c>
      <c r="C2739" s="473" t="s">
        <v>1477</v>
      </c>
      <c r="D2739" s="478" t="s">
        <v>1447</v>
      </c>
      <c r="E2739" s="474" t="s">
        <v>1448</v>
      </c>
      <c r="F2739" s="475" t="s">
        <v>446</v>
      </c>
      <c r="G2739" s="476" t="s">
        <v>1444</v>
      </c>
      <c r="H2739" s="475" t="s">
        <v>1445</v>
      </c>
      <c r="I2739" s="513" t="s">
        <v>1475</v>
      </c>
      <c r="J2739" s="509">
        <v>1273.8833</v>
      </c>
    </row>
    <row r="2740" spans="1:10" ht="20.25" customHeight="1">
      <c r="A2740" s="471">
        <v>5151</v>
      </c>
      <c r="B2740" s="474" t="s">
        <v>1217</v>
      </c>
      <c r="C2740" s="473" t="s">
        <v>1478</v>
      </c>
      <c r="D2740" s="478" t="s">
        <v>1447</v>
      </c>
      <c r="E2740" s="474" t="s">
        <v>1448</v>
      </c>
      <c r="F2740" s="475" t="s">
        <v>446</v>
      </c>
      <c r="G2740" s="476" t="s">
        <v>1444</v>
      </c>
      <c r="H2740" s="475" t="s">
        <v>1445</v>
      </c>
      <c r="I2740" s="513" t="s">
        <v>1475</v>
      </c>
      <c r="J2740" s="509">
        <v>1273.8833</v>
      </c>
    </row>
    <row r="2741" spans="1:10" ht="20.25" customHeight="1">
      <c r="A2741" s="471">
        <v>5151</v>
      </c>
      <c r="B2741" s="474" t="s">
        <v>1217</v>
      </c>
      <c r="C2741" s="473" t="s">
        <v>1479</v>
      </c>
      <c r="D2741" s="478" t="s">
        <v>1447</v>
      </c>
      <c r="E2741" s="474" t="s">
        <v>1448</v>
      </c>
      <c r="F2741" s="475" t="s">
        <v>446</v>
      </c>
      <c r="G2741" s="476" t="s">
        <v>1444</v>
      </c>
      <c r="H2741" s="475" t="s">
        <v>1445</v>
      </c>
      <c r="I2741" s="513" t="s">
        <v>1475</v>
      </c>
      <c r="J2741" s="509">
        <v>1273.8833</v>
      </c>
    </row>
    <row r="2742" spans="1:10" ht="20.25" customHeight="1">
      <c r="A2742" s="471">
        <v>5151</v>
      </c>
      <c r="B2742" s="474" t="s">
        <v>1217</v>
      </c>
      <c r="C2742" s="473" t="s">
        <v>1480</v>
      </c>
      <c r="D2742" s="478" t="s">
        <v>1447</v>
      </c>
      <c r="E2742" s="474" t="s">
        <v>1448</v>
      </c>
      <c r="F2742" s="475" t="s">
        <v>446</v>
      </c>
      <c r="G2742" s="476" t="s">
        <v>1444</v>
      </c>
      <c r="H2742" s="475" t="s">
        <v>1445</v>
      </c>
      <c r="I2742" s="513" t="s">
        <v>1475</v>
      </c>
      <c r="J2742" s="509">
        <v>1273.8833</v>
      </c>
    </row>
    <row r="2743" spans="1:10" ht="20.25" customHeight="1">
      <c r="A2743" s="471">
        <v>5151</v>
      </c>
      <c r="B2743" s="474" t="s">
        <v>1217</v>
      </c>
      <c r="C2743" s="473" t="s">
        <v>1481</v>
      </c>
      <c r="D2743" s="478" t="s">
        <v>1447</v>
      </c>
      <c r="E2743" s="474" t="s">
        <v>1448</v>
      </c>
      <c r="F2743" s="475" t="s">
        <v>468</v>
      </c>
      <c r="G2743" s="476" t="s">
        <v>1444</v>
      </c>
      <c r="H2743" s="475" t="s">
        <v>1445</v>
      </c>
      <c r="I2743" s="513" t="s">
        <v>1482</v>
      </c>
      <c r="J2743" s="509">
        <v>49605.010399999999</v>
      </c>
    </row>
    <row r="2744" spans="1:10" ht="20.25" customHeight="1">
      <c r="A2744" s="471">
        <v>5151</v>
      </c>
      <c r="B2744" s="474" t="s">
        <v>1217</v>
      </c>
      <c r="C2744" s="473" t="s">
        <v>1483</v>
      </c>
      <c r="D2744" s="478" t="s">
        <v>1447</v>
      </c>
      <c r="E2744" s="474" t="s">
        <v>1448</v>
      </c>
      <c r="F2744" s="475" t="s">
        <v>468</v>
      </c>
      <c r="G2744" s="476" t="s">
        <v>1444</v>
      </c>
      <c r="H2744" s="475" t="s">
        <v>1445</v>
      </c>
      <c r="I2744" s="513" t="s">
        <v>1482</v>
      </c>
      <c r="J2744" s="509">
        <v>49605.010399999999</v>
      </c>
    </row>
    <row r="2745" spans="1:10" ht="20.25" customHeight="1">
      <c r="A2745" s="471">
        <v>5151</v>
      </c>
      <c r="B2745" s="474" t="s">
        <v>1217</v>
      </c>
      <c r="C2745" s="473" t="s">
        <v>1484</v>
      </c>
      <c r="D2745" s="478" t="s">
        <v>1447</v>
      </c>
      <c r="E2745" s="474" t="s">
        <v>1448</v>
      </c>
      <c r="F2745" s="475" t="s">
        <v>468</v>
      </c>
      <c r="G2745" s="476" t="s">
        <v>1444</v>
      </c>
      <c r="H2745" s="475" t="s">
        <v>1445</v>
      </c>
      <c r="I2745" s="513" t="s">
        <v>1485</v>
      </c>
      <c r="J2745" s="509">
        <v>10295</v>
      </c>
    </row>
    <row r="2746" spans="1:10" ht="20.25" customHeight="1">
      <c r="A2746" s="471">
        <v>5151</v>
      </c>
      <c r="B2746" s="474" t="s">
        <v>1217</v>
      </c>
      <c r="C2746" s="473" t="s">
        <v>1486</v>
      </c>
      <c r="D2746" s="478" t="s">
        <v>1447</v>
      </c>
      <c r="E2746" s="474" t="s">
        <v>1448</v>
      </c>
      <c r="F2746" s="475" t="s">
        <v>468</v>
      </c>
      <c r="G2746" s="476" t="s">
        <v>1444</v>
      </c>
      <c r="H2746" s="475" t="s">
        <v>1445</v>
      </c>
      <c r="I2746" s="513" t="s">
        <v>1485</v>
      </c>
      <c r="J2746" s="509">
        <v>10295</v>
      </c>
    </row>
    <row r="2747" spans="1:10" ht="20.25" customHeight="1">
      <c r="A2747" s="471">
        <v>5151</v>
      </c>
      <c r="B2747" s="474" t="s">
        <v>1217</v>
      </c>
      <c r="C2747" s="473" t="s">
        <v>1487</v>
      </c>
      <c r="D2747" s="478" t="s">
        <v>1447</v>
      </c>
      <c r="E2747" s="474" t="s">
        <v>1448</v>
      </c>
      <c r="F2747" s="475" t="s">
        <v>468</v>
      </c>
      <c r="G2747" s="476" t="s">
        <v>1444</v>
      </c>
      <c r="H2747" s="475" t="s">
        <v>1445</v>
      </c>
      <c r="I2747" s="513" t="s">
        <v>1488</v>
      </c>
      <c r="J2747" s="509">
        <v>123656</v>
      </c>
    </row>
    <row r="2748" spans="1:10" ht="20.25" customHeight="1">
      <c r="A2748" s="471">
        <v>5151</v>
      </c>
      <c r="B2748" s="474" t="s">
        <v>1217</v>
      </c>
      <c r="C2748" s="473" t="s">
        <v>1489</v>
      </c>
      <c r="D2748" s="478" t="s">
        <v>1447</v>
      </c>
      <c r="E2748" s="474" t="s">
        <v>1448</v>
      </c>
      <c r="F2748" s="475" t="s">
        <v>468</v>
      </c>
      <c r="G2748" s="476" t="s">
        <v>1444</v>
      </c>
      <c r="H2748" s="475" t="s">
        <v>1445</v>
      </c>
      <c r="I2748" s="513" t="s">
        <v>1488</v>
      </c>
      <c r="J2748" s="509">
        <v>123656</v>
      </c>
    </row>
    <row r="2749" spans="1:10" ht="20.25" customHeight="1">
      <c r="A2749" s="471">
        <v>5111</v>
      </c>
      <c r="B2749" s="474" t="s">
        <v>1217</v>
      </c>
      <c r="C2749" s="473">
        <v>1330</v>
      </c>
      <c r="D2749" s="478">
        <v>45</v>
      </c>
      <c r="E2749" s="474">
        <v>42170</v>
      </c>
      <c r="F2749" s="475" t="s">
        <v>446</v>
      </c>
      <c r="G2749" s="476" t="s">
        <v>1444</v>
      </c>
      <c r="H2749" s="475" t="s">
        <v>1445</v>
      </c>
      <c r="I2749" s="487" t="s">
        <v>1490</v>
      </c>
      <c r="J2749" s="509">
        <f t="shared" ref="J2749:J2803" si="36">739.01</f>
        <v>739.01</v>
      </c>
    </row>
    <row r="2750" spans="1:10" ht="20.25" customHeight="1">
      <c r="A2750" s="471">
        <v>5111</v>
      </c>
      <c r="B2750" s="474" t="s">
        <v>1217</v>
      </c>
      <c r="C2750" s="473">
        <v>1331</v>
      </c>
      <c r="D2750" s="478">
        <v>45</v>
      </c>
      <c r="E2750" s="474">
        <v>42170</v>
      </c>
      <c r="F2750" s="475" t="s">
        <v>446</v>
      </c>
      <c r="G2750" s="476" t="s">
        <v>1444</v>
      </c>
      <c r="H2750" s="475" t="s">
        <v>1445</v>
      </c>
      <c r="I2750" s="487" t="s">
        <v>1490</v>
      </c>
      <c r="J2750" s="509">
        <f t="shared" si="36"/>
        <v>739.01</v>
      </c>
    </row>
    <row r="2751" spans="1:10" ht="20.25" customHeight="1">
      <c r="A2751" s="471">
        <v>5111</v>
      </c>
      <c r="B2751" s="474" t="s">
        <v>1217</v>
      </c>
      <c r="C2751" s="473">
        <v>1332</v>
      </c>
      <c r="D2751" s="478">
        <v>45</v>
      </c>
      <c r="E2751" s="474">
        <v>42170</v>
      </c>
      <c r="F2751" s="475" t="s">
        <v>446</v>
      </c>
      <c r="G2751" s="476" t="s">
        <v>1444</v>
      </c>
      <c r="H2751" s="475" t="s">
        <v>1445</v>
      </c>
      <c r="I2751" s="487" t="s">
        <v>1490</v>
      </c>
      <c r="J2751" s="509">
        <f t="shared" si="36"/>
        <v>739.01</v>
      </c>
    </row>
    <row r="2752" spans="1:10" ht="20.25" customHeight="1">
      <c r="A2752" s="471">
        <v>5111</v>
      </c>
      <c r="B2752" s="474" t="s">
        <v>1217</v>
      </c>
      <c r="C2752" s="473">
        <v>1333</v>
      </c>
      <c r="D2752" s="478">
        <v>45</v>
      </c>
      <c r="E2752" s="474">
        <v>42170</v>
      </c>
      <c r="F2752" s="475" t="s">
        <v>446</v>
      </c>
      <c r="G2752" s="476" t="s">
        <v>1444</v>
      </c>
      <c r="H2752" s="475" t="s">
        <v>1445</v>
      </c>
      <c r="I2752" s="487" t="s">
        <v>1490</v>
      </c>
      <c r="J2752" s="509">
        <f t="shared" si="36"/>
        <v>739.01</v>
      </c>
    </row>
    <row r="2753" spans="1:10" ht="20.25" customHeight="1">
      <c r="A2753" s="471">
        <v>5111</v>
      </c>
      <c r="B2753" s="474" t="s">
        <v>1217</v>
      </c>
      <c r="C2753" s="473">
        <v>1334</v>
      </c>
      <c r="D2753" s="478">
        <v>45</v>
      </c>
      <c r="E2753" s="474">
        <v>42170</v>
      </c>
      <c r="F2753" s="475" t="s">
        <v>446</v>
      </c>
      <c r="G2753" s="476" t="s">
        <v>1444</v>
      </c>
      <c r="H2753" s="475" t="s">
        <v>1445</v>
      </c>
      <c r="I2753" s="487" t="s">
        <v>1490</v>
      </c>
      <c r="J2753" s="509">
        <f t="shared" si="36"/>
        <v>739.01</v>
      </c>
    </row>
    <row r="2754" spans="1:10" ht="20.25" customHeight="1">
      <c r="A2754" s="471">
        <v>5111</v>
      </c>
      <c r="B2754" s="474" t="s">
        <v>1217</v>
      </c>
      <c r="C2754" s="473">
        <v>1336</v>
      </c>
      <c r="D2754" s="478">
        <v>45</v>
      </c>
      <c r="E2754" s="474">
        <v>42170</v>
      </c>
      <c r="F2754" s="475" t="s">
        <v>446</v>
      </c>
      <c r="G2754" s="476" t="s">
        <v>1444</v>
      </c>
      <c r="H2754" s="475" t="s">
        <v>1445</v>
      </c>
      <c r="I2754" s="487" t="s">
        <v>1490</v>
      </c>
      <c r="J2754" s="509">
        <f t="shared" si="36"/>
        <v>739.01</v>
      </c>
    </row>
    <row r="2755" spans="1:10" ht="20.25" customHeight="1">
      <c r="A2755" s="471">
        <v>5111</v>
      </c>
      <c r="B2755" s="474" t="s">
        <v>1217</v>
      </c>
      <c r="C2755" s="473">
        <v>1337</v>
      </c>
      <c r="D2755" s="478">
        <v>45</v>
      </c>
      <c r="E2755" s="474">
        <v>42170</v>
      </c>
      <c r="F2755" s="475" t="s">
        <v>446</v>
      </c>
      <c r="G2755" s="476" t="s">
        <v>1444</v>
      </c>
      <c r="H2755" s="475" t="s">
        <v>1445</v>
      </c>
      <c r="I2755" s="487" t="s">
        <v>1490</v>
      </c>
      <c r="J2755" s="509">
        <f t="shared" si="36"/>
        <v>739.01</v>
      </c>
    </row>
    <row r="2756" spans="1:10" ht="20.25" customHeight="1">
      <c r="A2756" s="471">
        <v>5111</v>
      </c>
      <c r="B2756" s="474" t="s">
        <v>1217</v>
      </c>
      <c r="C2756" s="473">
        <v>1338</v>
      </c>
      <c r="D2756" s="478">
        <v>45</v>
      </c>
      <c r="E2756" s="474">
        <v>42170</v>
      </c>
      <c r="F2756" s="475" t="s">
        <v>446</v>
      </c>
      <c r="G2756" s="476" t="s">
        <v>1444</v>
      </c>
      <c r="H2756" s="475" t="s">
        <v>1445</v>
      </c>
      <c r="I2756" s="487" t="s">
        <v>1490</v>
      </c>
      <c r="J2756" s="509">
        <f t="shared" si="36"/>
        <v>739.01</v>
      </c>
    </row>
    <row r="2757" spans="1:10" ht="20.25" customHeight="1">
      <c r="A2757" s="471">
        <v>5111</v>
      </c>
      <c r="B2757" s="474" t="s">
        <v>1217</v>
      </c>
      <c r="C2757" s="473">
        <v>1339</v>
      </c>
      <c r="D2757" s="478">
        <v>45</v>
      </c>
      <c r="E2757" s="474">
        <v>42170</v>
      </c>
      <c r="F2757" s="475" t="s">
        <v>446</v>
      </c>
      <c r="G2757" s="476" t="s">
        <v>1444</v>
      </c>
      <c r="H2757" s="475" t="s">
        <v>1445</v>
      </c>
      <c r="I2757" s="487" t="s">
        <v>1490</v>
      </c>
      <c r="J2757" s="509">
        <f t="shared" si="36"/>
        <v>739.01</v>
      </c>
    </row>
    <row r="2758" spans="1:10" ht="20.25" customHeight="1">
      <c r="A2758" s="471">
        <v>5111</v>
      </c>
      <c r="B2758" s="474" t="s">
        <v>1217</v>
      </c>
      <c r="C2758" s="473">
        <v>1340</v>
      </c>
      <c r="D2758" s="478">
        <v>45</v>
      </c>
      <c r="E2758" s="474">
        <v>42170</v>
      </c>
      <c r="F2758" s="475" t="s">
        <v>446</v>
      </c>
      <c r="G2758" s="476" t="s">
        <v>1444</v>
      </c>
      <c r="H2758" s="475" t="s">
        <v>1445</v>
      </c>
      <c r="I2758" s="487" t="s">
        <v>1490</v>
      </c>
      <c r="J2758" s="509">
        <f t="shared" si="36"/>
        <v>739.01</v>
      </c>
    </row>
    <row r="2759" spans="1:10" ht="20.25" customHeight="1">
      <c r="A2759" s="471">
        <v>5111</v>
      </c>
      <c r="B2759" s="474" t="s">
        <v>1217</v>
      </c>
      <c r="C2759" s="473">
        <v>1341</v>
      </c>
      <c r="D2759" s="478">
        <v>45</v>
      </c>
      <c r="E2759" s="474">
        <v>42170</v>
      </c>
      <c r="F2759" s="475" t="s">
        <v>446</v>
      </c>
      <c r="G2759" s="476" t="s">
        <v>1444</v>
      </c>
      <c r="H2759" s="475" t="s">
        <v>1445</v>
      </c>
      <c r="I2759" s="487" t="s">
        <v>1490</v>
      </c>
      <c r="J2759" s="509">
        <f t="shared" si="36"/>
        <v>739.01</v>
      </c>
    </row>
    <row r="2760" spans="1:10" ht="20.25" customHeight="1">
      <c r="A2760" s="471">
        <v>5111</v>
      </c>
      <c r="B2760" s="474" t="s">
        <v>1217</v>
      </c>
      <c r="C2760" s="473">
        <v>1342</v>
      </c>
      <c r="D2760" s="478">
        <v>45</v>
      </c>
      <c r="E2760" s="474">
        <v>42170</v>
      </c>
      <c r="F2760" s="475" t="s">
        <v>446</v>
      </c>
      <c r="G2760" s="476" t="s">
        <v>1444</v>
      </c>
      <c r="H2760" s="475" t="s">
        <v>1445</v>
      </c>
      <c r="I2760" s="487" t="s">
        <v>1490</v>
      </c>
      <c r="J2760" s="509">
        <f t="shared" si="36"/>
        <v>739.01</v>
      </c>
    </row>
    <row r="2761" spans="1:10" ht="20.25" customHeight="1">
      <c r="A2761" s="471">
        <v>5111</v>
      </c>
      <c r="B2761" s="474" t="s">
        <v>1217</v>
      </c>
      <c r="C2761" s="473">
        <v>1343</v>
      </c>
      <c r="D2761" s="478">
        <v>45</v>
      </c>
      <c r="E2761" s="474">
        <v>42170</v>
      </c>
      <c r="F2761" s="475" t="s">
        <v>446</v>
      </c>
      <c r="G2761" s="476" t="s">
        <v>1444</v>
      </c>
      <c r="H2761" s="475" t="s">
        <v>1445</v>
      </c>
      <c r="I2761" s="487" t="s">
        <v>1490</v>
      </c>
      <c r="J2761" s="509">
        <f t="shared" si="36"/>
        <v>739.01</v>
      </c>
    </row>
    <row r="2762" spans="1:10" ht="20.25" customHeight="1">
      <c r="A2762" s="471">
        <v>5111</v>
      </c>
      <c r="B2762" s="474" t="s">
        <v>1217</v>
      </c>
      <c r="C2762" s="473">
        <v>1344</v>
      </c>
      <c r="D2762" s="478">
        <v>45</v>
      </c>
      <c r="E2762" s="474">
        <v>42170</v>
      </c>
      <c r="F2762" s="475" t="s">
        <v>446</v>
      </c>
      <c r="G2762" s="476" t="s">
        <v>1444</v>
      </c>
      <c r="H2762" s="475" t="s">
        <v>1445</v>
      </c>
      <c r="I2762" s="487" t="s">
        <v>1490</v>
      </c>
      <c r="J2762" s="509">
        <f t="shared" si="36"/>
        <v>739.01</v>
      </c>
    </row>
    <row r="2763" spans="1:10" ht="20.25" customHeight="1">
      <c r="A2763" s="471">
        <v>5111</v>
      </c>
      <c r="B2763" s="474" t="s">
        <v>1217</v>
      </c>
      <c r="C2763" s="473">
        <v>1347</v>
      </c>
      <c r="D2763" s="478">
        <v>45</v>
      </c>
      <c r="E2763" s="474">
        <v>42170</v>
      </c>
      <c r="F2763" s="475" t="s">
        <v>446</v>
      </c>
      <c r="G2763" s="476" t="s">
        <v>1444</v>
      </c>
      <c r="H2763" s="475" t="s">
        <v>1445</v>
      </c>
      <c r="I2763" s="487" t="s">
        <v>1490</v>
      </c>
      <c r="J2763" s="509">
        <f t="shared" si="36"/>
        <v>739.01</v>
      </c>
    </row>
    <row r="2764" spans="1:10" ht="20.25" customHeight="1">
      <c r="A2764" s="471">
        <v>5111</v>
      </c>
      <c r="B2764" s="474" t="s">
        <v>1217</v>
      </c>
      <c r="C2764" s="473">
        <v>1348</v>
      </c>
      <c r="D2764" s="478">
        <v>45</v>
      </c>
      <c r="E2764" s="474">
        <v>42170</v>
      </c>
      <c r="F2764" s="475" t="s">
        <v>446</v>
      </c>
      <c r="G2764" s="476" t="s">
        <v>1444</v>
      </c>
      <c r="H2764" s="475" t="s">
        <v>1445</v>
      </c>
      <c r="I2764" s="487" t="s">
        <v>1490</v>
      </c>
      <c r="J2764" s="509">
        <f t="shared" si="36"/>
        <v>739.01</v>
      </c>
    </row>
    <row r="2765" spans="1:10" ht="20.25" customHeight="1">
      <c r="A2765" s="471">
        <v>5111</v>
      </c>
      <c r="B2765" s="474" t="s">
        <v>1217</v>
      </c>
      <c r="C2765" s="473">
        <v>1349</v>
      </c>
      <c r="D2765" s="478">
        <v>45</v>
      </c>
      <c r="E2765" s="474">
        <v>42170</v>
      </c>
      <c r="F2765" s="475" t="s">
        <v>446</v>
      </c>
      <c r="G2765" s="476" t="s">
        <v>1444</v>
      </c>
      <c r="H2765" s="475" t="s">
        <v>1445</v>
      </c>
      <c r="I2765" s="487" t="s">
        <v>1490</v>
      </c>
      <c r="J2765" s="509">
        <f t="shared" si="36"/>
        <v>739.01</v>
      </c>
    </row>
    <row r="2766" spans="1:10" ht="20.25" customHeight="1">
      <c r="A2766" s="471">
        <v>5111</v>
      </c>
      <c r="B2766" s="474" t="s">
        <v>1217</v>
      </c>
      <c r="C2766" s="473">
        <v>1350</v>
      </c>
      <c r="D2766" s="478">
        <v>45</v>
      </c>
      <c r="E2766" s="474">
        <v>42170</v>
      </c>
      <c r="F2766" s="475" t="s">
        <v>446</v>
      </c>
      <c r="G2766" s="476" t="s">
        <v>1444</v>
      </c>
      <c r="H2766" s="475" t="s">
        <v>1445</v>
      </c>
      <c r="I2766" s="487" t="s">
        <v>1490</v>
      </c>
      <c r="J2766" s="509">
        <f t="shared" si="36"/>
        <v>739.01</v>
      </c>
    </row>
    <row r="2767" spans="1:10" ht="20.25" customHeight="1">
      <c r="A2767" s="471">
        <v>5111</v>
      </c>
      <c r="B2767" s="474" t="s">
        <v>1217</v>
      </c>
      <c r="C2767" s="473">
        <v>1351</v>
      </c>
      <c r="D2767" s="478">
        <v>45</v>
      </c>
      <c r="E2767" s="474">
        <v>42170</v>
      </c>
      <c r="F2767" s="475" t="s">
        <v>446</v>
      </c>
      <c r="G2767" s="476" t="s">
        <v>1444</v>
      </c>
      <c r="H2767" s="475" t="s">
        <v>1445</v>
      </c>
      <c r="I2767" s="487" t="s">
        <v>1490</v>
      </c>
      <c r="J2767" s="509">
        <f t="shared" si="36"/>
        <v>739.01</v>
      </c>
    </row>
    <row r="2768" spans="1:10" ht="20.25" customHeight="1">
      <c r="A2768" s="471">
        <v>5111</v>
      </c>
      <c r="B2768" s="474" t="s">
        <v>1217</v>
      </c>
      <c r="C2768" s="473">
        <v>1352</v>
      </c>
      <c r="D2768" s="478">
        <v>45</v>
      </c>
      <c r="E2768" s="474">
        <v>42170</v>
      </c>
      <c r="F2768" s="475" t="s">
        <v>446</v>
      </c>
      <c r="G2768" s="476" t="s">
        <v>1444</v>
      </c>
      <c r="H2768" s="475" t="s">
        <v>1445</v>
      </c>
      <c r="I2768" s="487" t="s">
        <v>1490</v>
      </c>
      <c r="J2768" s="509">
        <f t="shared" si="36"/>
        <v>739.01</v>
      </c>
    </row>
    <row r="2769" spans="1:10" ht="20.25" customHeight="1">
      <c r="A2769" s="471">
        <v>5111</v>
      </c>
      <c r="B2769" s="474" t="s">
        <v>1217</v>
      </c>
      <c r="C2769" s="473">
        <v>1353</v>
      </c>
      <c r="D2769" s="478">
        <v>45</v>
      </c>
      <c r="E2769" s="474">
        <v>42170</v>
      </c>
      <c r="F2769" s="475" t="s">
        <v>446</v>
      </c>
      <c r="G2769" s="476" t="s">
        <v>1444</v>
      </c>
      <c r="H2769" s="475" t="s">
        <v>1445</v>
      </c>
      <c r="I2769" s="487" t="s">
        <v>1490</v>
      </c>
      <c r="J2769" s="509">
        <f t="shared" si="36"/>
        <v>739.01</v>
      </c>
    </row>
    <row r="2770" spans="1:10" ht="20.25" customHeight="1">
      <c r="A2770" s="471">
        <v>5111</v>
      </c>
      <c r="B2770" s="474" t="s">
        <v>1217</v>
      </c>
      <c r="C2770" s="473">
        <v>1354</v>
      </c>
      <c r="D2770" s="478">
        <v>45</v>
      </c>
      <c r="E2770" s="474">
        <v>42170</v>
      </c>
      <c r="F2770" s="475" t="s">
        <v>446</v>
      </c>
      <c r="G2770" s="476" t="s">
        <v>1444</v>
      </c>
      <c r="H2770" s="475" t="s">
        <v>1445</v>
      </c>
      <c r="I2770" s="487" t="s">
        <v>1490</v>
      </c>
      <c r="J2770" s="509">
        <f t="shared" si="36"/>
        <v>739.01</v>
      </c>
    </row>
    <row r="2771" spans="1:10" ht="20.25" customHeight="1">
      <c r="A2771" s="471">
        <v>5111</v>
      </c>
      <c r="B2771" s="474" t="s">
        <v>1217</v>
      </c>
      <c r="C2771" s="473">
        <v>1355</v>
      </c>
      <c r="D2771" s="478">
        <v>45</v>
      </c>
      <c r="E2771" s="474">
        <v>42170</v>
      </c>
      <c r="F2771" s="475" t="s">
        <v>446</v>
      </c>
      <c r="G2771" s="476" t="s">
        <v>1444</v>
      </c>
      <c r="H2771" s="475" t="s">
        <v>1445</v>
      </c>
      <c r="I2771" s="487" t="s">
        <v>1490</v>
      </c>
      <c r="J2771" s="509">
        <f t="shared" si="36"/>
        <v>739.01</v>
      </c>
    </row>
    <row r="2772" spans="1:10" ht="20.25" customHeight="1">
      <c r="A2772" s="471">
        <v>5111</v>
      </c>
      <c r="B2772" s="474" t="s">
        <v>1217</v>
      </c>
      <c r="C2772" s="473">
        <v>1356</v>
      </c>
      <c r="D2772" s="478">
        <v>45</v>
      </c>
      <c r="E2772" s="474">
        <v>42170</v>
      </c>
      <c r="F2772" s="475" t="s">
        <v>446</v>
      </c>
      <c r="G2772" s="476" t="s">
        <v>1444</v>
      </c>
      <c r="H2772" s="475" t="s">
        <v>1445</v>
      </c>
      <c r="I2772" s="487" t="s">
        <v>1490</v>
      </c>
      <c r="J2772" s="509">
        <f t="shared" si="36"/>
        <v>739.01</v>
      </c>
    </row>
    <row r="2773" spans="1:10" ht="20.25" customHeight="1">
      <c r="A2773" s="471">
        <v>5111</v>
      </c>
      <c r="B2773" s="474" t="s">
        <v>1217</v>
      </c>
      <c r="C2773" s="473">
        <v>1358</v>
      </c>
      <c r="D2773" s="478">
        <v>45</v>
      </c>
      <c r="E2773" s="474">
        <v>42170</v>
      </c>
      <c r="F2773" s="475" t="s">
        <v>446</v>
      </c>
      <c r="G2773" s="476" t="s">
        <v>1444</v>
      </c>
      <c r="H2773" s="475" t="s">
        <v>1445</v>
      </c>
      <c r="I2773" s="487" t="s">
        <v>1490</v>
      </c>
      <c r="J2773" s="509">
        <f t="shared" si="36"/>
        <v>739.01</v>
      </c>
    </row>
    <row r="2774" spans="1:10" ht="20.25" customHeight="1">
      <c r="A2774" s="471">
        <v>5111</v>
      </c>
      <c r="B2774" s="474" t="s">
        <v>1217</v>
      </c>
      <c r="C2774" s="473">
        <v>1359</v>
      </c>
      <c r="D2774" s="478">
        <v>45</v>
      </c>
      <c r="E2774" s="474">
        <v>42170</v>
      </c>
      <c r="F2774" s="475" t="s">
        <v>446</v>
      </c>
      <c r="G2774" s="476" t="s">
        <v>1444</v>
      </c>
      <c r="H2774" s="475" t="s">
        <v>1445</v>
      </c>
      <c r="I2774" s="487" t="s">
        <v>1490</v>
      </c>
      <c r="J2774" s="509">
        <f t="shared" si="36"/>
        <v>739.01</v>
      </c>
    </row>
    <row r="2775" spans="1:10" ht="20.25" customHeight="1">
      <c r="A2775" s="471">
        <v>5111</v>
      </c>
      <c r="B2775" s="474" t="s">
        <v>1217</v>
      </c>
      <c r="C2775" s="473">
        <v>1360</v>
      </c>
      <c r="D2775" s="478">
        <v>45</v>
      </c>
      <c r="E2775" s="474">
        <v>42170</v>
      </c>
      <c r="F2775" s="475" t="s">
        <v>446</v>
      </c>
      <c r="G2775" s="476" t="s">
        <v>1444</v>
      </c>
      <c r="H2775" s="475" t="s">
        <v>1445</v>
      </c>
      <c r="I2775" s="487" t="s">
        <v>1490</v>
      </c>
      <c r="J2775" s="509">
        <f t="shared" si="36"/>
        <v>739.01</v>
      </c>
    </row>
    <row r="2776" spans="1:10" ht="20.25" customHeight="1">
      <c r="A2776" s="471">
        <v>5111</v>
      </c>
      <c r="B2776" s="474" t="s">
        <v>1217</v>
      </c>
      <c r="C2776" s="473">
        <v>1361</v>
      </c>
      <c r="D2776" s="478">
        <v>45</v>
      </c>
      <c r="E2776" s="474">
        <v>42170</v>
      </c>
      <c r="F2776" s="475" t="s">
        <v>446</v>
      </c>
      <c r="G2776" s="476" t="s">
        <v>1444</v>
      </c>
      <c r="H2776" s="475" t="s">
        <v>1445</v>
      </c>
      <c r="I2776" s="487" t="s">
        <v>1490</v>
      </c>
      <c r="J2776" s="509">
        <f t="shared" si="36"/>
        <v>739.01</v>
      </c>
    </row>
    <row r="2777" spans="1:10" ht="20.25" customHeight="1">
      <c r="A2777" s="471">
        <v>5111</v>
      </c>
      <c r="B2777" s="474" t="s">
        <v>1217</v>
      </c>
      <c r="C2777" s="473">
        <v>1362</v>
      </c>
      <c r="D2777" s="478">
        <v>45</v>
      </c>
      <c r="E2777" s="474">
        <v>42170</v>
      </c>
      <c r="F2777" s="475" t="s">
        <v>446</v>
      </c>
      <c r="G2777" s="476" t="s">
        <v>1444</v>
      </c>
      <c r="H2777" s="475" t="s">
        <v>1445</v>
      </c>
      <c r="I2777" s="487" t="s">
        <v>1490</v>
      </c>
      <c r="J2777" s="509">
        <f t="shared" si="36"/>
        <v>739.01</v>
      </c>
    </row>
    <row r="2778" spans="1:10" ht="20.25" customHeight="1">
      <c r="A2778" s="471">
        <v>5111</v>
      </c>
      <c r="B2778" s="474" t="s">
        <v>1217</v>
      </c>
      <c r="C2778" s="473">
        <v>1363</v>
      </c>
      <c r="D2778" s="478">
        <v>45</v>
      </c>
      <c r="E2778" s="474">
        <v>42170</v>
      </c>
      <c r="F2778" s="475" t="s">
        <v>446</v>
      </c>
      <c r="G2778" s="476" t="s">
        <v>1444</v>
      </c>
      <c r="H2778" s="475" t="s">
        <v>1445</v>
      </c>
      <c r="I2778" s="487" t="s">
        <v>1490</v>
      </c>
      <c r="J2778" s="509">
        <f t="shared" si="36"/>
        <v>739.01</v>
      </c>
    </row>
    <row r="2779" spans="1:10" ht="20.25" customHeight="1">
      <c r="A2779" s="471">
        <v>5111</v>
      </c>
      <c r="B2779" s="474" t="s">
        <v>1217</v>
      </c>
      <c r="C2779" s="473">
        <v>1364</v>
      </c>
      <c r="D2779" s="478">
        <v>45</v>
      </c>
      <c r="E2779" s="474">
        <v>42170</v>
      </c>
      <c r="F2779" s="475" t="s">
        <v>446</v>
      </c>
      <c r="G2779" s="476" t="s">
        <v>1444</v>
      </c>
      <c r="H2779" s="475" t="s">
        <v>1445</v>
      </c>
      <c r="I2779" s="487" t="s">
        <v>1490</v>
      </c>
      <c r="J2779" s="509">
        <f t="shared" si="36"/>
        <v>739.01</v>
      </c>
    </row>
    <row r="2780" spans="1:10" ht="20.25" customHeight="1">
      <c r="A2780" s="471">
        <v>5111</v>
      </c>
      <c r="B2780" s="474" t="s">
        <v>1217</v>
      </c>
      <c r="C2780" s="473">
        <v>1365</v>
      </c>
      <c r="D2780" s="478">
        <v>45</v>
      </c>
      <c r="E2780" s="474">
        <v>42170</v>
      </c>
      <c r="F2780" s="475" t="s">
        <v>446</v>
      </c>
      <c r="G2780" s="476" t="s">
        <v>1444</v>
      </c>
      <c r="H2780" s="475" t="s">
        <v>1445</v>
      </c>
      <c r="I2780" s="487" t="s">
        <v>1490</v>
      </c>
      <c r="J2780" s="509">
        <f t="shared" si="36"/>
        <v>739.01</v>
      </c>
    </row>
    <row r="2781" spans="1:10" ht="20.25" customHeight="1">
      <c r="A2781" s="471">
        <v>5111</v>
      </c>
      <c r="B2781" s="474" t="s">
        <v>1217</v>
      </c>
      <c r="C2781" s="473">
        <v>1366</v>
      </c>
      <c r="D2781" s="478">
        <v>45</v>
      </c>
      <c r="E2781" s="474">
        <v>42170</v>
      </c>
      <c r="F2781" s="475" t="s">
        <v>446</v>
      </c>
      <c r="G2781" s="476" t="s">
        <v>1444</v>
      </c>
      <c r="H2781" s="475" t="s">
        <v>1445</v>
      </c>
      <c r="I2781" s="487" t="s">
        <v>1490</v>
      </c>
      <c r="J2781" s="509">
        <f t="shared" si="36"/>
        <v>739.01</v>
      </c>
    </row>
    <row r="2782" spans="1:10" ht="20.25" customHeight="1">
      <c r="A2782" s="471">
        <v>5111</v>
      </c>
      <c r="B2782" s="474" t="s">
        <v>1217</v>
      </c>
      <c r="C2782" s="473">
        <v>1367</v>
      </c>
      <c r="D2782" s="478">
        <v>45</v>
      </c>
      <c r="E2782" s="474">
        <v>42170</v>
      </c>
      <c r="F2782" s="475" t="s">
        <v>446</v>
      </c>
      <c r="G2782" s="476" t="s">
        <v>1444</v>
      </c>
      <c r="H2782" s="475" t="s">
        <v>1445</v>
      </c>
      <c r="I2782" s="487" t="s">
        <v>1490</v>
      </c>
      <c r="J2782" s="509">
        <f t="shared" si="36"/>
        <v>739.01</v>
      </c>
    </row>
    <row r="2783" spans="1:10" ht="20.25" customHeight="1">
      <c r="A2783" s="471">
        <v>5111</v>
      </c>
      <c r="B2783" s="474" t="s">
        <v>1217</v>
      </c>
      <c r="C2783" s="473">
        <v>1368</v>
      </c>
      <c r="D2783" s="478">
        <v>45</v>
      </c>
      <c r="E2783" s="474">
        <v>42170</v>
      </c>
      <c r="F2783" s="475" t="s">
        <v>446</v>
      </c>
      <c r="G2783" s="476" t="s">
        <v>1444</v>
      </c>
      <c r="H2783" s="475" t="s">
        <v>1445</v>
      </c>
      <c r="I2783" s="487" t="s">
        <v>1490</v>
      </c>
      <c r="J2783" s="509">
        <f t="shared" si="36"/>
        <v>739.01</v>
      </c>
    </row>
    <row r="2784" spans="1:10" ht="20.25" customHeight="1">
      <c r="A2784" s="471">
        <v>5111</v>
      </c>
      <c r="B2784" s="474" t="s">
        <v>1217</v>
      </c>
      <c r="C2784" s="473">
        <v>1369</v>
      </c>
      <c r="D2784" s="478">
        <v>45</v>
      </c>
      <c r="E2784" s="474">
        <v>42170</v>
      </c>
      <c r="F2784" s="475" t="s">
        <v>446</v>
      </c>
      <c r="G2784" s="476" t="s">
        <v>1444</v>
      </c>
      <c r="H2784" s="475" t="s">
        <v>1445</v>
      </c>
      <c r="I2784" s="487" t="s">
        <v>1490</v>
      </c>
      <c r="J2784" s="509">
        <f t="shared" si="36"/>
        <v>739.01</v>
      </c>
    </row>
    <row r="2785" spans="1:10" ht="20.25" customHeight="1">
      <c r="A2785" s="471">
        <v>5111</v>
      </c>
      <c r="B2785" s="474" t="s">
        <v>1217</v>
      </c>
      <c r="C2785" s="473">
        <v>1370</v>
      </c>
      <c r="D2785" s="478">
        <v>45</v>
      </c>
      <c r="E2785" s="474">
        <v>42170</v>
      </c>
      <c r="F2785" s="475" t="s">
        <v>446</v>
      </c>
      <c r="G2785" s="476" t="s">
        <v>1444</v>
      </c>
      <c r="H2785" s="475" t="s">
        <v>1445</v>
      </c>
      <c r="I2785" s="487" t="s">
        <v>1490</v>
      </c>
      <c r="J2785" s="509">
        <f t="shared" si="36"/>
        <v>739.01</v>
      </c>
    </row>
    <row r="2786" spans="1:10" ht="20.25" customHeight="1">
      <c r="A2786" s="471">
        <v>5111</v>
      </c>
      <c r="B2786" s="474" t="s">
        <v>1217</v>
      </c>
      <c r="C2786" s="473">
        <v>1371</v>
      </c>
      <c r="D2786" s="478">
        <v>45</v>
      </c>
      <c r="E2786" s="474">
        <v>42170</v>
      </c>
      <c r="F2786" s="475" t="s">
        <v>446</v>
      </c>
      <c r="G2786" s="476" t="s">
        <v>1444</v>
      </c>
      <c r="H2786" s="475" t="s">
        <v>1445</v>
      </c>
      <c r="I2786" s="487" t="s">
        <v>1490</v>
      </c>
      <c r="J2786" s="509">
        <f t="shared" si="36"/>
        <v>739.01</v>
      </c>
    </row>
    <row r="2787" spans="1:10" ht="20.25" customHeight="1">
      <c r="A2787" s="471">
        <v>5111</v>
      </c>
      <c r="B2787" s="474" t="s">
        <v>1217</v>
      </c>
      <c r="C2787" s="473">
        <v>1372</v>
      </c>
      <c r="D2787" s="478">
        <v>45</v>
      </c>
      <c r="E2787" s="474">
        <v>42170</v>
      </c>
      <c r="F2787" s="475" t="s">
        <v>446</v>
      </c>
      <c r="G2787" s="476" t="s">
        <v>1444</v>
      </c>
      <c r="H2787" s="475" t="s">
        <v>1445</v>
      </c>
      <c r="I2787" s="487" t="s">
        <v>1490</v>
      </c>
      <c r="J2787" s="509">
        <f t="shared" si="36"/>
        <v>739.01</v>
      </c>
    </row>
    <row r="2788" spans="1:10" ht="20.25" customHeight="1">
      <c r="A2788" s="471">
        <v>5111</v>
      </c>
      <c r="B2788" s="474" t="s">
        <v>1217</v>
      </c>
      <c r="C2788" s="473">
        <v>1373</v>
      </c>
      <c r="D2788" s="478">
        <v>45</v>
      </c>
      <c r="E2788" s="474">
        <v>42170</v>
      </c>
      <c r="F2788" s="475" t="s">
        <v>446</v>
      </c>
      <c r="G2788" s="476" t="s">
        <v>1444</v>
      </c>
      <c r="H2788" s="475" t="s">
        <v>1445</v>
      </c>
      <c r="I2788" s="487" t="s">
        <v>1490</v>
      </c>
      <c r="J2788" s="509">
        <f t="shared" si="36"/>
        <v>739.01</v>
      </c>
    </row>
    <row r="2789" spans="1:10" ht="20.25" customHeight="1">
      <c r="A2789" s="471">
        <v>5111</v>
      </c>
      <c r="B2789" s="474" t="s">
        <v>1217</v>
      </c>
      <c r="C2789" s="473">
        <v>1374</v>
      </c>
      <c r="D2789" s="478">
        <v>45</v>
      </c>
      <c r="E2789" s="474">
        <v>42170</v>
      </c>
      <c r="F2789" s="475" t="s">
        <v>446</v>
      </c>
      <c r="G2789" s="476" t="s">
        <v>1444</v>
      </c>
      <c r="H2789" s="475" t="s">
        <v>1445</v>
      </c>
      <c r="I2789" s="487" t="s">
        <v>1490</v>
      </c>
      <c r="J2789" s="509">
        <f t="shared" si="36"/>
        <v>739.01</v>
      </c>
    </row>
    <row r="2790" spans="1:10" ht="20.25" customHeight="1">
      <c r="A2790" s="471">
        <v>5111</v>
      </c>
      <c r="B2790" s="474" t="s">
        <v>1217</v>
      </c>
      <c r="C2790" s="473">
        <v>1375</v>
      </c>
      <c r="D2790" s="478">
        <v>45</v>
      </c>
      <c r="E2790" s="474">
        <v>42170</v>
      </c>
      <c r="F2790" s="475" t="s">
        <v>446</v>
      </c>
      <c r="G2790" s="476" t="s">
        <v>1444</v>
      </c>
      <c r="H2790" s="475" t="s">
        <v>1445</v>
      </c>
      <c r="I2790" s="487" t="s">
        <v>1490</v>
      </c>
      <c r="J2790" s="509">
        <f t="shared" si="36"/>
        <v>739.01</v>
      </c>
    </row>
    <row r="2791" spans="1:10" ht="20.25" customHeight="1">
      <c r="A2791" s="471">
        <v>5111</v>
      </c>
      <c r="B2791" s="474" t="s">
        <v>1217</v>
      </c>
      <c r="C2791" s="473">
        <v>1376</v>
      </c>
      <c r="D2791" s="478">
        <v>45</v>
      </c>
      <c r="E2791" s="474">
        <v>42170</v>
      </c>
      <c r="F2791" s="475" t="s">
        <v>446</v>
      </c>
      <c r="G2791" s="476" t="s">
        <v>1444</v>
      </c>
      <c r="H2791" s="475" t="s">
        <v>1445</v>
      </c>
      <c r="I2791" s="487" t="s">
        <v>1490</v>
      </c>
      <c r="J2791" s="509">
        <f t="shared" si="36"/>
        <v>739.01</v>
      </c>
    </row>
    <row r="2792" spans="1:10" ht="20.25" customHeight="1">
      <c r="A2792" s="471">
        <v>5111</v>
      </c>
      <c r="B2792" s="474" t="s">
        <v>1217</v>
      </c>
      <c r="C2792" s="473">
        <v>1377</v>
      </c>
      <c r="D2792" s="478">
        <v>45</v>
      </c>
      <c r="E2792" s="474">
        <v>42170</v>
      </c>
      <c r="F2792" s="475" t="s">
        <v>446</v>
      </c>
      <c r="G2792" s="476" t="s">
        <v>1444</v>
      </c>
      <c r="H2792" s="475" t="s">
        <v>1445</v>
      </c>
      <c r="I2792" s="487" t="s">
        <v>1490</v>
      </c>
      <c r="J2792" s="509">
        <f t="shared" si="36"/>
        <v>739.01</v>
      </c>
    </row>
    <row r="2793" spans="1:10" ht="20.25" customHeight="1">
      <c r="A2793" s="471">
        <v>5111</v>
      </c>
      <c r="B2793" s="474" t="s">
        <v>1217</v>
      </c>
      <c r="C2793" s="473">
        <v>1378</v>
      </c>
      <c r="D2793" s="478">
        <v>45</v>
      </c>
      <c r="E2793" s="474">
        <v>42170</v>
      </c>
      <c r="F2793" s="475" t="s">
        <v>446</v>
      </c>
      <c r="G2793" s="476" t="s">
        <v>1444</v>
      </c>
      <c r="H2793" s="475" t="s">
        <v>1445</v>
      </c>
      <c r="I2793" s="487" t="s">
        <v>1490</v>
      </c>
      <c r="J2793" s="509">
        <f t="shared" si="36"/>
        <v>739.01</v>
      </c>
    </row>
    <row r="2794" spans="1:10" ht="20.25" customHeight="1">
      <c r="A2794" s="471">
        <v>5111</v>
      </c>
      <c r="B2794" s="474" t="s">
        <v>1217</v>
      </c>
      <c r="C2794" s="473">
        <v>1379</v>
      </c>
      <c r="D2794" s="478">
        <v>45</v>
      </c>
      <c r="E2794" s="474">
        <v>42170</v>
      </c>
      <c r="F2794" s="475" t="s">
        <v>446</v>
      </c>
      <c r="G2794" s="476" t="s">
        <v>1444</v>
      </c>
      <c r="H2794" s="475" t="s">
        <v>1445</v>
      </c>
      <c r="I2794" s="487" t="s">
        <v>1490</v>
      </c>
      <c r="J2794" s="509">
        <f t="shared" si="36"/>
        <v>739.01</v>
      </c>
    </row>
    <row r="2795" spans="1:10" ht="20.25" customHeight="1">
      <c r="A2795" s="471">
        <v>5111</v>
      </c>
      <c r="B2795" s="474" t="s">
        <v>1217</v>
      </c>
      <c r="C2795" s="473">
        <v>1380</v>
      </c>
      <c r="D2795" s="478">
        <v>45</v>
      </c>
      <c r="E2795" s="474">
        <v>42170</v>
      </c>
      <c r="F2795" s="475" t="s">
        <v>446</v>
      </c>
      <c r="G2795" s="476" t="s">
        <v>1444</v>
      </c>
      <c r="H2795" s="475" t="s">
        <v>1445</v>
      </c>
      <c r="I2795" s="487" t="s">
        <v>1490</v>
      </c>
      <c r="J2795" s="509">
        <f t="shared" si="36"/>
        <v>739.01</v>
      </c>
    </row>
    <row r="2796" spans="1:10" ht="20.25" customHeight="1">
      <c r="A2796" s="471">
        <v>5111</v>
      </c>
      <c r="B2796" s="474" t="s">
        <v>1217</v>
      </c>
      <c r="C2796" s="473">
        <v>1381</v>
      </c>
      <c r="D2796" s="478">
        <v>45</v>
      </c>
      <c r="E2796" s="474">
        <v>42170</v>
      </c>
      <c r="F2796" s="475" t="s">
        <v>446</v>
      </c>
      <c r="G2796" s="476" t="s">
        <v>1444</v>
      </c>
      <c r="H2796" s="475" t="s">
        <v>1445</v>
      </c>
      <c r="I2796" s="487" t="s">
        <v>1490</v>
      </c>
      <c r="J2796" s="509">
        <f t="shared" si="36"/>
        <v>739.01</v>
      </c>
    </row>
    <row r="2797" spans="1:10" ht="20.25" customHeight="1">
      <c r="A2797" s="471">
        <v>5111</v>
      </c>
      <c r="B2797" s="474" t="s">
        <v>1217</v>
      </c>
      <c r="C2797" s="473">
        <v>1382</v>
      </c>
      <c r="D2797" s="478">
        <v>45</v>
      </c>
      <c r="E2797" s="474">
        <v>42170</v>
      </c>
      <c r="F2797" s="475" t="s">
        <v>446</v>
      </c>
      <c r="G2797" s="476" t="s">
        <v>1444</v>
      </c>
      <c r="H2797" s="475" t="s">
        <v>1445</v>
      </c>
      <c r="I2797" s="487" t="s">
        <v>1490</v>
      </c>
      <c r="J2797" s="509">
        <f t="shared" si="36"/>
        <v>739.01</v>
      </c>
    </row>
    <row r="2798" spans="1:10" ht="20.25" customHeight="1">
      <c r="A2798" s="471">
        <v>5111</v>
      </c>
      <c r="B2798" s="474" t="s">
        <v>1217</v>
      </c>
      <c r="C2798" s="473">
        <v>1383</v>
      </c>
      <c r="D2798" s="478">
        <v>45</v>
      </c>
      <c r="E2798" s="474">
        <v>42170</v>
      </c>
      <c r="F2798" s="475" t="s">
        <v>446</v>
      </c>
      <c r="G2798" s="476" t="s">
        <v>1444</v>
      </c>
      <c r="H2798" s="475" t="s">
        <v>1445</v>
      </c>
      <c r="I2798" s="487" t="s">
        <v>1490</v>
      </c>
      <c r="J2798" s="509">
        <f t="shared" si="36"/>
        <v>739.01</v>
      </c>
    </row>
    <row r="2799" spans="1:10" ht="20.25" customHeight="1">
      <c r="A2799" s="471">
        <v>5111</v>
      </c>
      <c r="B2799" s="474" t="s">
        <v>1217</v>
      </c>
      <c r="C2799" s="473">
        <v>1384</v>
      </c>
      <c r="D2799" s="478">
        <v>45</v>
      </c>
      <c r="E2799" s="474">
        <v>42170</v>
      </c>
      <c r="F2799" s="475" t="s">
        <v>446</v>
      </c>
      <c r="G2799" s="476" t="s">
        <v>1444</v>
      </c>
      <c r="H2799" s="475" t="s">
        <v>1445</v>
      </c>
      <c r="I2799" s="487" t="s">
        <v>1490</v>
      </c>
      <c r="J2799" s="509">
        <f t="shared" si="36"/>
        <v>739.01</v>
      </c>
    </row>
    <row r="2800" spans="1:10" ht="20.25" customHeight="1">
      <c r="A2800" s="471">
        <v>5111</v>
      </c>
      <c r="B2800" s="474" t="s">
        <v>1217</v>
      </c>
      <c r="C2800" s="473">
        <v>1385</v>
      </c>
      <c r="D2800" s="478">
        <v>45</v>
      </c>
      <c r="E2800" s="474">
        <v>42170</v>
      </c>
      <c r="F2800" s="475" t="s">
        <v>446</v>
      </c>
      <c r="G2800" s="476" t="s">
        <v>1444</v>
      </c>
      <c r="H2800" s="475" t="s">
        <v>1445</v>
      </c>
      <c r="I2800" s="487" t="s">
        <v>1490</v>
      </c>
      <c r="J2800" s="509">
        <f t="shared" si="36"/>
        <v>739.01</v>
      </c>
    </row>
    <row r="2801" spans="1:10" ht="20.25" customHeight="1">
      <c r="A2801" s="471">
        <v>5111</v>
      </c>
      <c r="B2801" s="474" t="s">
        <v>1217</v>
      </c>
      <c r="C2801" s="473">
        <v>1386</v>
      </c>
      <c r="D2801" s="478">
        <v>45</v>
      </c>
      <c r="E2801" s="474">
        <v>42170</v>
      </c>
      <c r="F2801" s="475" t="s">
        <v>446</v>
      </c>
      <c r="G2801" s="476" t="s">
        <v>1444</v>
      </c>
      <c r="H2801" s="475" t="s">
        <v>1445</v>
      </c>
      <c r="I2801" s="487" t="s">
        <v>1490</v>
      </c>
      <c r="J2801" s="509">
        <f t="shared" si="36"/>
        <v>739.01</v>
      </c>
    </row>
    <row r="2802" spans="1:10" ht="20.25" customHeight="1">
      <c r="A2802" s="471">
        <v>5111</v>
      </c>
      <c r="B2802" s="474" t="s">
        <v>1217</v>
      </c>
      <c r="C2802" s="473">
        <v>1387</v>
      </c>
      <c r="D2802" s="478">
        <v>45</v>
      </c>
      <c r="E2802" s="474">
        <v>42170</v>
      </c>
      <c r="F2802" s="475" t="s">
        <v>446</v>
      </c>
      <c r="G2802" s="476" t="s">
        <v>1444</v>
      </c>
      <c r="H2802" s="475" t="s">
        <v>1445</v>
      </c>
      <c r="I2802" s="487" t="s">
        <v>1490</v>
      </c>
      <c r="J2802" s="509">
        <f t="shared" si="36"/>
        <v>739.01</v>
      </c>
    </row>
    <row r="2803" spans="1:10" ht="20.25" customHeight="1">
      <c r="A2803" s="471">
        <v>5111</v>
      </c>
      <c r="B2803" s="474" t="s">
        <v>1217</v>
      </c>
      <c r="C2803" s="473">
        <v>1388</v>
      </c>
      <c r="D2803" s="478">
        <v>45</v>
      </c>
      <c r="E2803" s="474">
        <v>42170</v>
      </c>
      <c r="F2803" s="475" t="s">
        <v>446</v>
      </c>
      <c r="G2803" s="476" t="s">
        <v>1444</v>
      </c>
      <c r="H2803" s="475" t="s">
        <v>1445</v>
      </c>
      <c r="I2803" s="487" t="s">
        <v>1490</v>
      </c>
      <c r="J2803" s="509">
        <f t="shared" si="36"/>
        <v>739.01</v>
      </c>
    </row>
    <row r="2804" spans="1:10" ht="15" customHeight="1"/>
    <row r="2805" spans="1:10" ht="15" customHeight="1"/>
    <row r="2806" spans="1:10" ht="15" customHeight="1"/>
    <row r="2807" spans="1:10" ht="15" customHeight="1"/>
    <row r="2808" spans="1:10" ht="15" customHeight="1"/>
    <row r="2809" spans="1:10" ht="15" customHeight="1"/>
    <row r="2810" spans="1:10" ht="15" customHeight="1"/>
    <row r="2811" spans="1:10" ht="15" customHeight="1"/>
    <row r="2812" spans="1:10" ht="15" customHeight="1"/>
    <row r="2813" spans="1:10" ht="15" customHeight="1"/>
    <row r="2814" spans="1:10" ht="15" customHeight="1"/>
    <row r="2815" spans="1:10" ht="15" customHeight="1"/>
    <row r="2816" spans="1:10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</sheetData>
  <mergeCells count="5">
    <mergeCell ref="H1:J1"/>
    <mergeCell ref="H2:J2"/>
    <mergeCell ref="H3:J3"/>
    <mergeCell ref="I4:J4"/>
    <mergeCell ref="A7:H7"/>
  </mergeCells>
  <pageMargins left="0.70866141732283472" right="0.70866141732283472" top="0.74803149606299213" bottom="0.74803149606299213" header="0.31496062992125984" footer="0.31496062992125984"/>
  <pageSetup scale="60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E44"/>
  <sheetViews>
    <sheetView workbookViewId="0">
      <selection activeCell="A9" sqref="A9:B41"/>
    </sheetView>
  </sheetViews>
  <sheetFormatPr baseColWidth="10" defaultColWidth="0" defaultRowHeight="15" customHeight="1" zeroHeight="1"/>
  <cols>
    <col min="1" max="2" width="11.42578125" customWidth="1"/>
    <col min="3" max="3" width="67" customWidth="1"/>
    <col min="4" max="4" width="35.28515625" customWidth="1"/>
    <col min="5" max="5" width="1.85546875" customWidth="1"/>
    <col min="6" max="16384" width="11.42578125" hidden="1"/>
  </cols>
  <sheetData>
    <row r="1" spans="1:5">
      <c r="A1" s="381"/>
      <c r="B1" s="705" t="s">
        <v>404</v>
      </c>
      <c r="C1" s="705"/>
      <c r="D1" s="705"/>
      <c r="E1" s="705"/>
    </row>
    <row r="2" spans="1:5">
      <c r="A2" s="381"/>
      <c r="B2" s="705" t="s">
        <v>412</v>
      </c>
      <c r="C2" s="705"/>
      <c r="D2" s="705"/>
      <c r="E2" s="705"/>
    </row>
    <row r="3" spans="1:5">
      <c r="A3" s="381"/>
      <c r="B3" s="705" t="s">
        <v>2</v>
      </c>
      <c r="C3" s="705"/>
      <c r="D3" s="705"/>
      <c r="E3" s="705"/>
    </row>
    <row r="4" spans="1:5">
      <c r="A4" s="384"/>
      <c r="B4" s="382" t="s">
        <v>3</v>
      </c>
      <c r="C4" s="706" t="s">
        <v>421</v>
      </c>
      <c r="D4" s="706"/>
      <c r="E4" s="383"/>
    </row>
    <row r="5" spans="1:5" s="388" customFormat="1">
      <c r="A5" s="384"/>
      <c r="B5" s="385"/>
      <c r="C5" s="386"/>
      <c r="D5" s="386"/>
      <c r="E5" s="387"/>
    </row>
    <row r="6" spans="1:5" s="388" customFormat="1">
      <c r="A6" s="389"/>
      <c r="B6" s="390"/>
      <c r="C6" s="389"/>
      <c r="D6" s="389"/>
      <c r="E6" s="390"/>
    </row>
    <row r="7" spans="1:5" s="410" customFormat="1">
      <c r="A7" s="710" t="s">
        <v>401</v>
      </c>
      <c r="B7" s="711"/>
      <c r="C7" s="391" t="s">
        <v>405</v>
      </c>
      <c r="D7" s="391" t="s">
        <v>403</v>
      </c>
      <c r="E7" s="392"/>
    </row>
    <row r="8" spans="1:5" ht="3" customHeight="1">
      <c r="A8" s="393"/>
      <c r="B8" s="394"/>
      <c r="C8" s="394"/>
      <c r="D8" s="394"/>
      <c r="E8" s="395"/>
    </row>
    <row r="9" spans="1:5">
      <c r="A9" s="396">
        <v>101001</v>
      </c>
      <c r="B9" s="397"/>
      <c r="C9" s="515" t="s">
        <v>1507</v>
      </c>
      <c r="D9" s="399">
        <v>8000000</v>
      </c>
      <c r="E9" s="400"/>
    </row>
    <row r="10" spans="1:5">
      <c r="A10" s="396"/>
      <c r="B10" s="397"/>
      <c r="C10" s="515" t="s">
        <v>1508</v>
      </c>
      <c r="D10" s="399"/>
      <c r="E10" s="400"/>
    </row>
    <row r="11" spans="1:5">
      <c r="A11" s="396"/>
      <c r="B11" s="397"/>
      <c r="C11" s="515" t="s">
        <v>1509</v>
      </c>
      <c r="D11" s="399"/>
      <c r="E11" s="400"/>
    </row>
    <row r="12" spans="1:5">
      <c r="A12" s="396"/>
      <c r="B12" s="397"/>
      <c r="C12" s="515" t="s">
        <v>1510</v>
      </c>
      <c r="D12" s="399"/>
      <c r="E12" s="400"/>
    </row>
    <row r="13" spans="1:5">
      <c r="A13" s="396"/>
      <c r="B13" s="397"/>
      <c r="C13" s="515" t="s">
        <v>1511</v>
      </c>
      <c r="D13" s="399"/>
      <c r="E13" s="400"/>
    </row>
    <row r="14" spans="1:5">
      <c r="A14" s="396"/>
      <c r="B14" s="397"/>
      <c r="C14" s="515" t="s">
        <v>1512</v>
      </c>
      <c r="D14" s="399"/>
      <c r="E14" s="400"/>
    </row>
    <row r="15" spans="1:5">
      <c r="A15" s="396"/>
      <c r="B15" s="397"/>
      <c r="C15" s="515" t="s">
        <v>1513</v>
      </c>
      <c r="D15" s="399"/>
      <c r="E15" s="400"/>
    </row>
    <row r="16" spans="1:5">
      <c r="A16" s="396">
        <v>3020203001</v>
      </c>
      <c r="B16" s="397"/>
      <c r="C16" s="515" t="s">
        <v>1514</v>
      </c>
      <c r="D16" s="399">
        <v>10317708.77</v>
      </c>
      <c r="E16" s="400"/>
    </row>
    <row r="17" spans="1:5">
      <c r="A17" s="401"/>
      <c r="B17" s="402"/>
      <c r="C17" s="515" t="s">
        <v>1515</v>
      </c>
      <c r="D17" s="399">
        <v>0</v>
      </c>
      <c r="E17" s="400"/>
    </row>
    <row r="18" spans="1:5">
      <c r="A18" s="401"/>
      <c r="B18" s="402"/>
      <c r="C18" s="515" t="s">
        <v>1516</v>
      </c>
      <c r="D18" s="399">
        <v>0</v>
      </c>
      <c r="E18" s="400"/>
    </row>
    <row r="19" spans="1:5">
      <c r="A19" s="401"/>
      <c r="B19" s="402"/>
      <c r="C19" s="515" t="s">
        <v>1517</v>
      </c>
      <c r="D19" s="399">
        <v>0</v>
      </c>
      <c r="E19" s="400"/>
    </row>
    <row r="20" spans="1:5">
      <c r="A20" s="401"/>
      <c r="B20" s="402"/>
      <c r="C20" s="515" t="s">
        <v>1518</v>
      </c>
      <c r="D20" s="399">
        <v>0</v>
      </c>
      <c r="E20" s="400"/>
    </row>
    <row r="21" spans="1:5">
      <c r="A21" s="401"/>
      <c r="B21" s="402"/>
      <c r="C21" s="515" t="s">
        <v>1519</v>
      </c>
      <c r="D21" s="399">
        <v>0</v>
      </c>
      <c r="E21" s="400"/>
    </row>
    <row r="22" spans="1:5">
      <c r="A22" s="401"/>
      <c r="B22" s="402"/>
      <c r="C22" s="515" t="s">
        <v>1520</v>
      </c>
      <c r="D22" s="399">
        <v>0</v>
      </c>
      <c r="E22" s="400"/>
    </row>
    <row r="23" spans="1:5">
      <c r="A23" s="401"/>
      <c r="B23" s="402"/>
      <c r="C23" s="515" t="s">
        <v>1521</v>
      </c>
      <c r="D23" s="399">
        <v>0</v>
      </c>
      <c r="E23" s="400"/>
    </row>
    <row r="24" spans="1:5">
      <c r="A24" s="401"/>
      <c r="B24" s="402"/>
      <c r="C24" s="515" t="s">
        <v>1522</v>
      </c>
      <c r="D24" s="399">
        <v>0</v>
      </c>
      <c r="E24" s="400"/>
    </row>
    <row r="25" spans="1:5">
      <c r="A25" s="401"/>
      <c r="B25" s="402"/>
      <c r="C25" s="515" t="s">
        <v>1523</v>
      </c>
      <c r="D25" s="399">
        <v>0</v>
      </c>
      <c r="E25" s="400"/>
    </row>
    <row r="26" spans="1:5">
      <c r="A26" s="401"/>
      <c r="B26" s="402"/>
      <c r="C26" s="515" t="s">
        <v>1524</v>
      </c>
      <c r="D26" s="399">
        <v>0</v>
      </c>
      <c r="E26" s="400"/>
    </row>
    <row r="27" spans="1:5">
      <c r="A27" s="401"/>
      <c r="B27" s="402"/>
      <c r="C27" s="515" t="s">
        <v>1525</v>
      </c>
      <c r="D27" s="399">
        <v>0</v>
      </c>
      <c r="E27" s="400"/>
    </row>
    <row r="28" spans="1:5">
      <c r="A28" s="401"/>
      <c r="B28" s="402"/>
      <c r="C28" s="515" t="s">
        <v>1526</v>
      </c>
      <c r="D28" s="399">
        <v>0</v>
      </c>
      <c r="E28" s="400"/>
    </row>
    <row r="29" spans="1:5">
      <c r="A29" s="401">
        <v>3020203002</v>
      </c>
      <c r="B29" s="402"/>
      <c r="C29" s="515" t="s">
        <v>1527</v>
      </c>
      <c r="D29" s="399">
        <v>11130083.359999999</v>
      </c>
      <c r="E29" s="400"/>
    </row>
    <row r="30" spans="1:5">
      <c r="A30" s="401"/>
      <c r="B30" s="402"/>
      <c r="C30" s="515" t="s">
        <v>1528</v>
      </c>
      <c r="D30" s="399">
        <v>0</v>
      </c>
      <c r="E30" s="400"/>
    </row>
    <row r="31" spans="1:5">
      <c r="A31" s="396"/>
      <c r="B31" s="397"/>
      <c r="C31" s="515" t="s">
        <v>1529</v>
      </c>
      <c r="D31" s="399">
        <v>0</v>
      </c>
      <c r="E31" s="400"/>
    </row>
    <row r="32" spans="1:5">
      <c r="A32" s="396"/>
      <c r="B32" s="397"/>
      <c r="C32" s="515" t="s">
        <v>1530</v>
      </c>
      <c r="D32" s="399">
        <v>0</v>
      </c>
      <c r="E32" s="400"/>
    </row>
    <row r="33" spans="1:5">
      <c r="A33" s="396"/>
      <c r="B33" s="397"/>
      <c r="C33" s="515" t="s">
        <v>1531</v>
      </c>
      <c r="D33" s="399">
        <v>0</v>
      </c>
      <c r="E33" s="400"/>
    </row>
    <row r="34" spans="1:5">
      <c r="A34" s="396"/>
      <c r="B34" s="397"/>
      <c r="C34" s="515" t="s">
        <v>1532</v>
      </c>
      <c r="D34" s="399">
        <v>0</v>
      </c>
      <c r="E34" s="400"/>
    </row>
    <row r="35" spans="1:5">
      <c r="A35" s="396"/>
      <c r="B35" s="397"/>
      <c r="C35" s="515" t="s">
        <v>1533</v>
      </c>
      <c r="D35" s="399">
        <v>0</v>
      </c>
      <c r="E35" s="400"/>
    </row>
    <row r="36" spans="1:5">
      <c r="A36" s="396"/>
      <c r="B36" s="397"/>
      <c r="C36" s="515" t="s">
        <v>1534</v>
      </c>
      <c r="D36" s="399">
        <v>0</v>
      </c>
      <c r="E36" s="400"/>
    </row>
    <row r="37" spans="1:5">
      <c r="A37" s="396"/>
      <c r="B37" s="397"/>
      <c r="C37" s="515" t="s">
        <v>1535</v>
      </c>
      <c r="D37" s="399">
        <v>0</v>
      </c>
      <c r="E37" s="400"/>
    </row>
    <row r="38" spans="1:5">
      <c r="A38" s="396">
        <v>3020203003</v>
      </c>
      <c r="B38" s="397"/>
      <c r="C38" s="515" t="s">
        <v>1536</v>
      </c>
      <c r="D38" s="399">
        <v>3957451.54</v>
      </c>
      <c r="E38" s="400"/>
    </row>
    <row r="39" spans="1:5">
      <c r="A39" s="396"/>
      <c r="B39" s="397"/>
      <c r="C39" s="515" t="s">
        <v>1537</v>
      </c>
      <c r="D39" s="399">
        <v>0</v>
      </c>
      <c r="E39" s="400"/>
    </row>
    <row r="40" spans="1:5">
      <c r="A40" s="396">
        <v>3020302001</v>
      </c>
      <c r="B40" s="397"/>
      <c r="C40" s="515" t="s">
        <v>1538</v>
      </c>
      <c r="D40" s="399">
        <v>545114.48</v>
      </c>
      <c r="E40" s="400"/>
    </row>
    <row r="41" spans="1:5">
      <c r="A41" s="396"/>
      <c r="B41" s="397"/>
      <c r="C41" s="515" t="s">
        <v>1539</v>
      </c>
      <c r="D41" s="399">
        <v>0</v>
      </c>
      <c r="E41" s="400"/>
    </row>
    <row r="42" spans="1:5">
      <c r="A42" s="396"/>
      <c r="B42" s="397"/>
      <c r="C42" s="398"/>
      <c r="D42" s="399">
        <v>0</v>
      </c>
      <c r="E42" s="400"/>
    </row>
    <row r="43" spans="1:5">
      <c r="A43" s="403"/>
      <c r="B43" s="404"/>
      <c r="C43" s="405"/>
      <c r="D43" s="406"/>
      <c r="E43" s="407"/>
    </row>
    <row r="44" spans="1:5">
      <c r="A44" s="408"/>
      <c r="B44" s="409"/>
      <c r="C44" s="709"/>
      <c r="D44" s="709"/>
      <c r="E44" s="709"/>
    </row>
  </sheetData>
  <mergeCells count="6">
    <mergeCell ref="C44:E44"/>
    <mergeCell ref="B1:E1"/>
    <mergeCell ref="B2:E2"/>
    <mergeCell ref="B3:E3"/>
    <mergeCell ref="C4:D4"/>
    <mergeCell ref="A7:B7"/>
  </mergeCells>
  <pageMargins left="0.70866141732283472" right="0.70866141732283472" top="0.74803149606299213" bottom="0.74803149606299213" header="0.31496062992125984" footer="0.31496062992125984"/>
  <pageSetup scale="60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C24"/>
  <sheetViews>
    <sheetView showWhiteSpace="0" zoomScaleNormal="100" workbookViewId="0">
      <selection activeCell="A2" sqref="A2:C2"/>
    </sheetView>
  </sheetViews>
  <sheetFormatPr baseColWidth="10" defaultColWidth="0" defaultRowHeight="15" customHeight="1" zeroHeight="1"/>
  <cols>
    <col min="1" max="1" width="54.5703125" customWidth="1"/>
    <col min="2" max="2" width="33.42578125" customWidth="1"/>
    <col min="3" max="3" width="35" customWidth="1"/>
    <col min="4" max="16384" width="11.42578125" hidden="1"/>
  </cols>
  <sheetData>
    <row r="1" spans="1:3">
      <c r="A1" s="712" t="s">
        <v>412</v>
      </c>
      <c r="B1" s="713"/>
      <c r="C1" s="714"/>
    </row>
    <row r="2" spans="1:3">
      <c r="A2" s="715" t="s">
        <v>406</v>
      </c>
      <c r="B2" s="716"/>
      <c r="C2" s="717"/>
    </row>
    <row r="3" spans="1:3" ht="15.75" thickBot="1">
      <c r="A3" s="718" t="s">
        <v>407</v>
      </c>
      <c r="B3" s="719"/>
      <c r="C3" s="720"/>
    </row>
    <row r="4" spans="1:3" ht="24" customHeight="1" thickBot="1">
      <c r="A4" s="721" t="s">
        <v>408</v>
      </c>
      <c r="B4" s="723" t="s">
        <v>409</v>
      </c>
      <c r="C4" s="724"/>
    </row>
    <row r="5" spans="1:3" ht="15.75" thickBot="1">
      <c r="A5" s="722"/>
      <c r="B5" s="411" t="s">
        <v>410</v>
      </c>
      <c r="C5" s="411" t="s">
        <v>411</v>
      </c>
    </row>
    <row r="6" spans="1:3" ht="16.5" customHeight="1" thickBot="1">
      <c r="A6" s="412" t="s">
        <v>441</v>
      </c>
      <c r="B6" s="413" t="s">
        <v>442</v>
      </c>
      <c r="C6" s="413">
        <v>131038145</v>
      </c>
    </row>
    <row r="7" spans="1:3" ht="15.75" thickBot="1">
      <c r="A7" s="412" t="s">
        <v>441</v>
      </c>
      <c r="B7" s="413" t="s">
        <v>442</v>
      </c>
      <c r="C7" s="413" t="s">
        <v>443</v>
      </c>
    </row>
    <row r="8" spans="1:3" ht="15.75" thickBot="1">
      <c r="A8" s="412" t="s">
        <v>441</v>
      </c>
      <c r="B8" s="413" t="s">
        <v>442</v>
      </c>
      <c r="C8" s="413" t="s">
        <v>444</v>
      </c>
    </row>
    <row r="9" spans="1:3" ht="15.75" thickBot="1">
      <c r="A9" s="412"/>
      <c r="B9" s="413"/>
      <c r="C9" s="414"/>
    </row>
    <row r="10" spans="1:3" ht="15.75" thickBot="1">
      <c r="A10" s="412"/>
      <c r="B10" s="413"/>
      <c r="C10" s="414"/>
    </row>
    <row r="11" spans="1:3" ht="15.75" thickBot="1">
      <c r="A11" s="412"/>
      <c r="B11" s="413"/>
      <c r="C11" s="414"/>
    </row>
    <row r="12" spans="1:3" ht="15.75" thickBot="1">
      <c r="A12" s="412"/>
      <c r="B12" s="413"/>
      <c r="C12" s="414"/>
    </row>
    <row r="13" spans="1:3" ht="15.75" thickBot="1">
      <c r="A13" s="412"/>
      <c r="B13" s="413"/>
      <c r="C13" s="414"/>
    </row>
    <row r="14" spans="1:3" ht="15.75" thickBot="1">
      <c r="A14" s="412"/>
      <c r="B14" s="413"/>
      <c r="C14" s="414"/>
    </row>
    <row r="15" spans="1:3" ht="15.75" thickBot="1">
      <c r="A15" s="412"/>
      <c r="B15" s="413"/>
      <c r="C15" s="414"/>
    </row>
    <row r="16" spans="1:3" ht="15.75" thickBot="1">
      <c r="A16" s="412"/>
      <c r="B16" s="413"/>
      <c r="C16" s="414"/>
    </row>
    <row r="17" spans="1:3" ht="15.75" thickBot="1">
      <c r="A17" s="412"/>
      <c r="B17" s="413"/>
      <c r="C17" s="414"/>
    </row>
    <row r="18" spans="1:3" ht="15.75" thickBot="1">
      <c r="A18" s="412"/>
      <c r="B18" s="413"/>
      <c r="C18" s="414"/>
    </row>
    <row r="19" spans="1:3" ht="15.75" thickBot="1">
      <c r="A19" s="412"/>
      <c r="B19" s="413"/>
      <c r="C19" s="414"/>
    </row>
    <row r="20" spans="1:3" ht="15.75" thickBot="1">
      <c r="A20" s="412"/>
      <c r="B20" s="413"/>
      <c r="C20" s="414"/>
    </row>
    <row r="21" spans="1:3" ht="15.75" thickBot="1">
      <c r="A21" s="412"/>
      <c r="B21" s="413"/>
      <c r="C21" s="414"/>
    </row>
    <row r="22" spans="1:3" ht="15.75" thickBot="1">
      <c r="A22" s="412"/>
      <c r="B22" s="413"/>
      <c r="C22" s="414"/>
    </row>
    <row r="23" spans="1:3" ht="15.75" thickBot="1">
      <c r="A23" s="412"/>
      <c r="B23" s="413"/>
      <c r="C23" s="414"/>
    </row>
    <row r="24" spans="1:3" ht="18" customHeight="1" thickBot="1">
      <c r="A24" s="412"/>
      <c r="B24" s="413"/>
      <c r="C24" s="414"/>
    </row>
  </sheetData>
  <mergeCells count="5">
    <mergeCell ref="A1:C1"/>
    <mergeCell ref="A2:C2"/>
    <mergeCell ref="A3:C3"/>
    <mergeCell ref="A4:A5"/>
    <mergeCell ref="B4:C4"/>
  </mergeCells>
  <pageMargins left="0.70866141732283472" right="0.70866141732283472" top="0.74803149606299213" bottom="0.74803149606299213" header="0.31496062992125984" footer="0.31496062992125984"/>
  <pageSetup scale="73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WVU66"/>
  <sheetViews>
    <sheetView showGridLines="0" topLeftCell="B37" zoomScale="80" zoomScaleNormal="80" workbookViewId="0">
      <selection activeCell="H62" sqref="H62:I63"/>
    </sheetView>
  </sheetViews>
  <sheetFormatPr baseColWidth="10" defaultColWidth="0" defaultRowHeight="15" customHeight="1" zeroHeight="1"/>
  <cols>
    <col min="1" max="1" width="2" customWidth="1"/>
    <col min="2" max="2" width="2.42578125" customWidth="1"/>
    <col min="3" max="3" width="22" customWidth="1"/>
    <col min="4" max="4" width="39.140625" customWidth="1"/>
    <col min="5" max="6" width="21" customWidth="1"/>
    <col min="7" max="7" width="4.85546875" customWidth="1"/>
    <col min="8" max="8" width="11.42578125" customWidth="1"/>
    <col min="9" max="9" width="56.85546875" customWidth="1"/>
    <col min="10" max="11" width="21" customWidth="1"/>
    <col min="12" max="12" width="3.7109375" customWidth="1"/>
    <col min="13" max="13" width="4.5703125" customWidth="1"/>
    <col min="14" max="256" width="11.42578125" hidden="1"/>
    <col min="257" max="257" width="2" customWidth="1"/>
    <col min="258" max="258" width="2.42578125" customWidth="1"/>
    <col min="259" max="259" width="22" customWidth="1"/>
    <col min="260" max="260" width="68.85546875" customWidth="1"/>
    <col min="261" max="262" width="21" customWidth="1"/>
    <col min="263" max="263" width="4.85546875" customWidth="1"/>
    <col min="264" max="264" width="11.42578125" customWidth="1"/>
    <col min="265" max="265" width="64.140625" customWidth="1"/>
    <col min="266" max="267" width="21" customWidth="1"/>
    <col min="268" max="268" width="3.7109375" customWidth="1"/>
    <col min="269" max="269" width="4.5703125" customWidth="1"/>
    <col min="270" max="512" width="11.42578125" hidden="1"/>
    <col min="513" max="513" width="2" customWidth="1"/>
    <col min="514" max="514" width="2.42578125" customWidth="1"/>
    <col min="515" max="515" width="22" customWidth="1"/>
    <col min="516" max="516" width="68.85546875" customWidth="1"/>
    <col min="517" max="518" width="21" customWidth="1"/>
    <col min="519" max="519" width="4.85546875" customWidth="1"/>
    <col min="520" max="520" width="11.42578125" customWidth="1"/>
    <col min="521" max="521" width="64.140625" customWidth="1"/>
    <col min="522" max="523" width="21" customWidth="1"/>
    <col min="524" max="524" width="3.7109375" customWidth="1"/>
    <col min="525" max="525" width="4.5703125" customWidth="1"/>
    <col min="526" max="768" width="11.42578125" hidden="1"/>
    <col min="769" max="769" width="2" customWidth="1"/>
    <col min="770" max="770" width="2.42578125" customWidth="1"/>
    <col min="771" max="771" width="22" customWidth="1"/>
    <col min="772" max="772" width="68.85546875" customWidth="1"/>
    <col min="773" max="774" width="21" customWidth="1"/>
    <col min="775" max="775" width="4.85546875" customWidth="1"/>
    <col min="776" max="776" width="11.42578125" customWidth="1"/>
    <col min="777" max="777" width="64.140625" customWidth="1"/>
    <col min="778" max="779" width="21" customWidth="1"/>
    <col min="780" max="780" width="3.7109375" customWidth="1"/>
    <col min="781" max="781" width="4.5703125" customWidth="1"/>
    <col min="782" max="1024" width="11.42578125" hidden="1"/>
    <col min="1025" max="1025" width="2" customWidth="1"/>
    <col min="1026" max="1026" width="2.42578125" customWidth="1"/>
    <col min="1027" max="1027" width="22" customWidth="1"/>
    <col min="1028" max="1028" width="68.85546875" customWidth="1"/>
    <col min="1029" max="1030" width="21" customWidth="1"/>
    <col min="1031" max="1031" width="4.85546875" customWidth="1"/>
    <col min="1032" max="1032" width="11.42578125" customWidth="1"/>
    <col min="1033" max="1033" width="64.140625" customWidth="1"/>
    <col min="1034" max="1035" width="21" customWidth="1"/>
    <col min="1036" max="1036" width="3.7109375" customWidth="1"/>
    <col min="1037" max="1037" width="4.5703125" customWidth="1"/>
    <col min="1038" max="1280" width="11.42578125" hidden="1"/>
    <col min="1281" max="1281" width="2" customWidth="1"/>
    <col min="1282" max="1282" width="2.42578125" customWidth="1"/>
    <col min="1283" max="1283" width="22" customWidth="1"/>
    <col min="1284" max="1284" width="68.85546875" customWidth="1"/>
    <col min="1285" max="1286" width="21" customWidth="1"/>
    <col min="1287" max="1287" width="4.85546875" customWidth="1"/>
    <col min="1288" max="1288" width="11.42578125" customWidth="1"/>
    <col min="1289" max="1289" width="64.140625" customWidth="1"/>
    <col min="1290" max="1291" width="21" customWidth="1"/>
    <col min="1292" max="1292" width="3.7109375" customWidth="1"/>
    <col min="1293" max="1293" width="4.5703125" customWidth="1"/>
    <col min="1294" max="1536" width="11.42578125" hidden="1"/>
    <col min="1537" max="1537" width="2" customWidth="1"/>
    <col min="1538" max="1538" width="2.42578125" customWidth="1"/>
    <col min="1539" max="1539" width="22" customWidth="1"/>
    <col min="1540" max="1540" width="68.85546875" customWidth="1"/>
    <col min="1541" max="1542" width="21" customWidth="1"/>
    <col min="1543" max="1543" width="4.85546875" customWidth="1"/>
    <col min="1544" max="1544" width="11.42578125" customWidth="1"/>
    <col min="1545" max="1545" width="64.140625" customWidth="1"/>
    <col min="1546" max="1547" width="21" customWidth="1"/>
    <col min="1548" max="1548" width="3.7109375" customWidth="1"/>
    <col min="1549" max="1549" width="4.5703125" customWidth="1"/>
    <col min="1550" max="1792" width="11.42578125" hidden="1"/>
    <col min="1793" max="1793" width="2" customWidth="1"/>
    <col min="1794" max="1794" width="2.42578125" customWidth="1"/>
    <col min="1795" max="1795" width="22" customWidth="1"/>
    <col min="1796" max="1796" width="68.85546875" customWidth="1"/>
    <col min="1797" max="1798" width="21" customWidth="1"/>
    <col min="1799" max="1799" width="4.85546875" customWidth="1"/>
    <col min="1800" max="1800" width="11.42578125" customWidth="1"/>
    <col min="1801" max="1801" width="64.140625" customWidth="1"/>
    <col min="1802" max="1803" width="21" customWidth="1"/>
    <col min="1804" max="1804" width="3.7109375" customWidth="1"/>
    <col min="1805" max="1805" width="4.5703125" customWidth="1"/>
    <col min="1806" max="2048" width="11.42578125" hidden="1"/>
    <col min="2049" max="2049" width="2" customWidth="1"/>
    <col min="2050" max="2050" width="2.42578125" customWidth="1"/>
    <col min="2051" max="2051" width="22" customWidth="1"/>
    <col min="2052" max="2052" width="68.85546875" customWidth="1"/>
    <col min="2053" max="2054" width="21" customWidth="1"/>
    <col min="2055" max="2055" width="4.85546875" customWidth="1"/>
    <col min="2056" max="2056" width="11.42578125" customWidth="1"/>
    <col min="2057" max="2057" width="64.140625" customWidth="1"/>
    <col min="2058" max="2059" width="21" customWidth="1"/>
    <col min="2060" max="2060" width="3.7109375" customWidth="1"/>
    <col min="2061" max="2061" width="4.5703125" customWidth="1"/>
    <col min="2062" max="2304" width="11.42578125" hidden="1"/>
    <col min="2305" max="2305" width="2" customWidth="1"/>
    <col min="2306" max="2306" width="2.42578125" customWidth="1"/>
    <col min="2307" max="2307" width="22" customWidth="1"/>
    <col min="2308" max="2308" width="68.85546875" customWidth="1"/>
    <col min="2309" max="2310" width="21" customWidth="1"/>
    <col min="2311" max="2311" width="4.85546875" customWidth="1"/>
    <col min="2312" max="2312" width="11.42578125" customWidth="1"/>
    <col min="2313" max="2313" width="64.140625" customWidth="1"/>
    <col min="2314" max="2315" width="21" customWidth="1"/>
    <col min="2316" max="2316" width="3.7109375" customWidth="1"/>
    <col min="2317" max="2317" width="4.5703125" customWidth="1"/>
    <col min="2318" max="2560" width="11.42578125" hidden="1"/>
    <col min="2561" max="2561" width="2" customWidth="1"/>
    <col min="2562" max="2562" width="2.42578125" customWidth="1"/>
    <col min="2563" max="2563" width="22" customWidth="1"/>
    <col min="2564" max="2564" width="68.85546875" customWidth="1"/>
    <col min="2565" max="2566" width="21" customWidth="1"/>
    <col min="2567" max="2567" width="4.85546875" customWidth="1"/>
    <col min="2568" max="2568" width="11.42578125" customWidth="1"/>
    <col min="2569" max="2569" width="64.140625" customWidth="1"/>
    <col min="2570" max="2571" width="21" customWidth="1"/>
    <col min="2572" max="2572" width="3.7109375" customWidth="1"/>
    <col min="2573" max="2573" width="4.5703125" customWidth="1"/>
    <col min="2574" max="2816" width="11.42578125" hidden="1"/>
    <col min="2817" max="2817" width="2" customWidth="1"/>
    <col min="2818" max="2818" width="2.42578125" customWidth="1"/>
    <col min="2819" max="2819" width="22" customWidth="1"/>
    <col min="2820" max="2820" width="68.85546875" customWidth="1"/>
    <col min="2821" max="2822" width="21" customWidth="1"/>
    <col min="2823" max="2823" width="4.85546875" customWidth="1"/>
    <col min="2824" max="2824" width="11.42578125" customWidth="1"/>
    <col min="2825" max="2825" width="64.140625" customWidth="1"/>
    <col min="2826" max="2827" width="21" customWidth="1"/>
    <col min="2828" max="2828" width="3.7109375" customWidth="1"/>
    <col min="2829" max="2829" width="4.5703125" customWidth="1"/>
    <col min="2830" max="3072" width="11.42578125" hidden="1"/>
    <col min="3073" max="3073" width="2" customWidth="1"/>
    <col min="3074" max="3074" width="2.42578125" customWidth="1"/>
    <col min="3075" max="3075" width="22" customWidth="1"/>
    <col min="3076" max="3076" width="68.85546875" customWidth="1"/>
    <col min="3077" max="3078" width="21" customWidth="1"/>
    <col min="3079" max="3079" width="4.85546875" customWidth="1"/>
    <col min="3080" max="3080" width="11.42578125" customWidth="1"/>
    <col min="3081" max="3081" width="64.140625" customWidth="1"/>
    <col min="3082" max="3083" width="21" customWidth="1"/>
    <col min="3084" max="3084" width="3.7109375" customWidth="1"/>
    <col min="3085" max="3085" width="4.5703125" customWidth="1"/>
    <col min="3086" max="3328" width="11.42578125" hidden="1"/>
    <col min="3329" max="3329" width="2" customWidth="1"/>
    <col min="3330" max="3330" width="2.42578125" customWidth="1"/>
    <col min="3331" max="3331" width="22" customWidth="1"/>
    <col min="3332" max="3332" width="68.85546875" customWidth="1"/>
    <col min="3333" max="3334" width="21" customWidth="1"/>
    <col min="3335" max="3335" width="4.85546875" customWidth="1"/>
    <col min="3336" max="3336" width="11.42578125" customWidth="1"/>
    <col min="3337" max="3337" width="64.140625" customWidth="1"/>
    <col min="3338" max="3339" width="21" customWidth="1"/>
    <col min="3340" max="3340" width="3.7109375" customWidth="1"/>
    <col min="3341" max="3341" width="4.5703125" customWidth="1"/>
    <col min="3342" max="3584" width="11.42578125" hidden="1"/>
    <col min="3585" max="3585" width="2" customWidth="1"/>
    <col min="3586" max="3586" width="2.42578125" customWidth="1"/>
    <col min="3587" max="3587" width="22" customWidth="1"/>
    <col min="3588" max="3588" width="68.85546875" customWidth="1"/>
    <col min="3589" max="3590" width="21" customWidth="1"/>
    <col min="3591" max="3591" width="4.85546875" customWidth="1"/>
    <col min="3592" max="3592" width="11.42578125" customWidth="1"/>
    <col min="3593" max="3593" width="64.140625" customWidth="1"/>
    <col min="3594" max="3595" width="21" customWidth="1"/>
    <col min="3596" max="3596" width="3.7109375" customWidth="1"/>
    <col min="3597" max="3597" width="4.5703125" customWidth="1"/>
    <col min="3598" max="3840" width="11.42578125" hidden="1"/>
    <col min="3841" max="3841" width="2" customWidth="1"/>
    <col min="3842" max="3842" width="2.42578125" customWidth="1"/>
    <col min="3843" max="3843" width="22" customWidth="1"/>
    <col min="3844" max="3844" width="68.85546875" customWidth="1"/>
    <col min="3845" max="3846" width="21" customWidth="1"/>
    <col min="3847" max="3847" width="4.85546875" customWidth="1"/>
    <col min="3848" max="3848" width="11.42578125" customWidth="1"/>
    <col min="3849" max="3849" width="64.140625" customWidth="1"/>
    <col min="3850" max="3851" width="21" customWidth="1"/>
    <col min="3852" max="3852" width="3.7109375" customWidth="1"/>
    <col min="3853" max="3853" width="4.5703125" customWidth="1"/>
    <col min="3854" max="4096" width="11.42578125" hidden="1"/>
    <col min="4097" max="4097" width="2" customWidth="1"/>
    <col min="4098" max="4098" width="2.42578125" customWidth="1"/>
    <col min="4099" max="4099" width="22" customWidth="1"/>
    <col min="4100" max="4100" width="68.85546875" customWidth="1"/>
    <col min="4101" max="4102" width="21" customWidth="1"/>
    <col min="4103" max="4103" width="4.85546875" customWidth="1"/>
    <col min="4104" max="4104" width="11.42578125" customWidth="1"/>
    <col min="4105" max="4105" width="64.140625" customWidth="1"/>
    <col min="4106" max="4107" width="21" customWidth="1"/>
    <col min="4108" max="4108" width="3.7109375" customWidth="1"/>
    <col min="4109" max="4109" width="4.5703125" customWidth="1"/>
    <col min="4110" max="4352" width="11.42578125" hidden="1"/>
    <col min="4353" max="4353" width="2" customWidth="1"/>
    <col min="4354" max="4354" width="2.42578125" customWidth="1"/>
    <col min="4355" max="4355" width="22" customWidth="1"/>
    <col min="4356" max="4356" width="68.85546875" customWidth="1"/>
    <col min="4357" max="4358" width="21" customWidth="1"/>
    <col min="4359" max="4359" width="4.85546875" customWidth="1"/>
    <col min="4360" max="4360" width="11.42578125" customWidth="1"/>
    <col min="4361" max="4361" width="64.140625" customWidth="1"/>
    <col min="4362" max="4363" width="21" customWidth="1"/>
    <col min="4364" max="4364" width="3.7109375" customWidth="1"/>
    <col min="4365" max="4365" width="4.5703125" customWidth="1"/>
    <col min="4366" max="4608" width="11.42578125" hidden="1"/>
    <col min="4609" max="4609" width="2" customWidth="1"/>
    <col min="4610" max="4610" width="2.42578125" customWidth="1"/>
    <col min="4611" max="4611" width="22" customWidth="1"/>
    <col min="4612" max="4612" width="68.85546875" customWidth="1"/>
    <col min="4613" max="4614" width="21" customWidth="1"/>
    <col min="4615" max="4615" width="4.85546875" customWidth="1"/>
    <col min="4616" max="4616" width="11.42578125" customWidth="1"/>
    <col min="4617" max="4617" width="64.140625" customWidth="1"/>
    <col min="4618" max="4619" width="21" customWidth="1"/>
    <col min="4620" max="4620" width="3.7109375" customWidth="1"/>
    <col min="4621" max="4621" width="4.5703125" customWidth="1"/>
    <col min="4622" max="4864" width="11.42578125" hidden="1"/>
    <col min="4865" max="4865" width="2" customWidth="1"/>
    <col min="4866" max="4866" width="2.42578125" customWidth="1"/>
    <col min="4867" max="4867" width="22" customWidth="1"/>
    <col min="4868" max="4868" width="68.85546875" customWidth="1"/>
    <col min="4869" max="4870" width="21" customWidth="1"/>
    <col min="4871" max="4871" width="4.85546875" customWidth="1"/>
    <col min="4872" max="4872" width="11.42578125" customWidth="1"/>
    <col min="4873" max="4873" width="64.140625" customWidth="1"/>
    <col min="4874" max="4875" width="21" customWidth="1"/>
    <col min="4876" max="4876" width="3.7109375" customWidth="1"/>
    <col min="4877" max="4877" width="4.5703125" customWidth="1"/>
    <col min="4878" max="5120" width="11.42578125" hidden="1"/>
    <col min="5121" max="5121" width="2" customWidth="1"/>
    <col min="5122" max="5122" width="2.42578125" customWidth="1"/>
    <col min="5123" max="5123" width="22" customWidth="1"/>
    <col min="5124" max="5124" width="68.85546875" customWidth="1"/>
    <col min="5125" max="5126" width="21" customWidth="1"/>
    <col min="5127" max="5127" width="4.85546875" customWidth="1"/>
    <col min="5128" max="5128" width="11.42578125" customWidth="1"/>
    <col min="5129" max="5129" width="64.140625" customWidth="1"/>
    <col min="5130" max="5131" width="21" customWidth="1"/>
    <col min="5132" max="5132" width="3.7109375" customWidth="1"/>
    <col min="5133" max="5133" width="4.5703125" customWidth="1"/>
    <col min="5134" max="5376" width="11.42578125" hidden="1"/>
    <col min="5377" max="5377" width="2" customWidth="1"/>
    <col min="5378" max="5378" width="2.42578125" customWidth="1"/>
    <col min="5379" max="5379" width="22" customWidth="1"/>
    <col min="5380" max="5380" width="68.85546875" customWidth="1"/>
    <col min="5381" max="5382" width="21" customWidth="1"/>
    <col min="5383" max="5383" width="4.85546875" customWidth="1"/>
    <col min="5384" max="5384" width="11.42578125" customWidth="1"/>
    <col min="5385" max="5385" width="64.140625" customWidth="1"/>
    <col min="5386" max="5387" width="21" customWidth="1"/>
    <col min="5388" max="5388" width="3.7109375" customWidth="1"/>
    <col min="5389" max="5389" width="4.5703125" customWidth="1"/>
    <col min="5390" max="5632" width="11.42578125" hidden="1"/>
    <col min="5633" max="5633" width="2" customWidth="1"/>
    <col min="5634" max="5634" width="2.42578125" customWidth="1"/>
    <col min="5635" max="5635" width="22" customWidth="1"/>
    <col min="5636" max="5636" width="68.85546875" customWidth="1"/>
    <col min="5637" max="5638" width="21" customWidth="1"/>
    <col min="5639" max="5639" width="4.85546875" customWidth="1"/>
    <col min="5640" max="5640" width="11.42578125" customWidth="1"/>
    <col min="5641" max="5641" width="64.140625" customWidth="1"/>
    <col min="5642" max="5643" width="21" customWidth="1"/>
    <col min="5644" max="5644" width="3.7109375" customWidth="1"/>
    <col min="5645" max="5645" width="4.5703125" customWidth="1"/>
    <col min="5646" max="5888" width="11.42578125" hidden="1"/>
    <col min="5889" max="5889" width="2" customWidth="1"/>
    <col min="5890" max="5890" width="2.42578125" customWidth="1"/>
    <col min="5891" max="5891" width="22" customWidth="1"/>
    <col min="5892" max="5892" width="68.85546875" customWidth="1"/>
    <col min="5893" max="5894" width="21" customWidth="1"/>
    <col min="5895" max="5895" width="4.85546875" customWidth="1"/>
    <col min="5896" max="5896" width="11.42578125" customWidth="1"/>
    <col min="5897" max="5897" width="64.140625" customWidth="1"/>
    <col min="5898" max="5899" width="21" customWidth="1"/>
    <col min="5900" max="5900" width="3.7109375" customWidth="1"/>
    <col min="5901" max="5901" width="4.5703125" customWidth="1"/>
    <col min="5902" max="6144" width="11.42578125" hidden="1"/>
    <col min="6145" max="6145" width="2" customWidth="1"/>
    <col min="6146" max="6146" width="2.42578125" customWidth="1"/>
    <col min="6147" max="6147" width="22" customWidth="1"/>
    <col min="6148" max="6148" width="68.85546875" customWidth="1"/>
    <col min="6149" max="6150" width="21" customWidth="1"/>
    <col min="6151" max="6151" width="4.85546875" customWidth="1"/>
    <col min="6152" max="6152" width="11.42578125" customWidth="1"/>
    <col min="6153" max="6153" width="64.140625" customWidth="1"/>
    <col min="6154" max="6155" width="21" customWidth="1"/>
    <col min="6156" max="6156" width="3.7109375" customWidth="1"/>
    <col min="6157" max="6157" width="4.5703125" customWidth="1"/>
    <col min="6158" max="6400" width="11.42578125" hidden="1"/>
    <col min="6401" max="6401" width="2" customWidth="1"/>
    <col min="6402" max="6402" width="2.42578125" customWidth="1"/>
    <col min="6403" max="6403" width="22" customWidth="1"/>
    <col min="6404" max="6404" width="68.85546875" customWidth="1"/>
    <col min="6405" max="6406" width="21" customWidth="1"/>
    <col min="6407" max="6407" width="4.85546875" customWidth="1"/>
    <col min="6408" max="6408" width="11.42578125" customWidth="1"/>
    <col min="6409" max="6409" width="64.140625" customWidth="1"/>
    <col min="6410" max="6411" width="21" customWidth="1"/>
    <col min="6412" max="6412" width="3.7109375" customWidth="1"/>
    <col min="6413" max="6413" width="4.5703125" customWidth="1"/>
    <col min="6414" max="6656" width="11.42578125" hidden="1"/>
    <col min="6657" max="6657" width="2" customWidth="1"/>
    <col min="6658" max="6658" width="2.42578125" customWidth="1"/>
    <col min="6659" max="6659" width="22" customWidth="1"/>
    <col min="6660" max="6660" width="68.85546875" customWidth="1"/>
    <col min="6661" max="6662" width="21" customWidth="1"/>
    <col min="6663" max="6663" width="4.85546875" customWidth="1"/>
    <col min="6664" max="6664" width="11.42578125" customWidth="1"/>
    <col min="6665" max="6665" width="64.140625" customWidth="1"/>
    <col min="6666" max="6667" width="21" customWidth="1"/>
    <col min="6668" max="6668" width="3.7109375" customWidth="1"/>
    <col min="6669" max="6669" width="4.5703125" customWidth="1"/>
    <col min="6670" max="6912" width="11.42578125" hidden="1"/>
    <col min="6913" max="6913" width="2" customWidth="1"/>
    <col min="6914" max="6914" width="2.42578125" customWidth="1"/>
    <col min="6915" max="6915" width="22" customWidth="1"/>
    <col min="6916" max="6916" width="68.85546875" customWidth="1"/>
    <col min="6917" max="6918" width="21" customWidth="1"/>
    <col min="6919" max="6919" width="4.85546875" customWidth="1"/>
    <col min="6920" max="6920" width="11.42578125" customWidth="1"/>
    <col min="6921" max="6921" width="64.140625" customWidth="1"/>
    <col min="6922" max="6923" width="21" customWidth="1"/>
    <col min="6924" max="6924" width="3.7109375" customWidth="1"/>
    <col min="6925" max="6925" width="4.5703125" customWidth="1"/>
    <col min="6926" max="7168" width="11.42578125" hidden="1"/>
    <col min="7169" max="7169" width="2" customWidth="1"/>
    <col min="7170" max="7170" width="2.42578125" customWidth="1"/>
    <col min="7171" max="7171" width="22" customWidth="1"/>
    <col min="7172" max="7172" width="68.85546875" customWidth="1"/>
    <col min="7173" max="7174" width="21" customWidth="1"/>
    <col min="7175" max="7175" width="4.85546875" customWidth="1"/>
    <col min="7176" max="7176" width="11.42578125" customWidth="1"/>
    <col min="7177" max="7177" width="64.140625" customWidth="1"/>
    <col min="7178" max="7179" width="21" customWidth="1"/>
    <col min="7180" max="7180" width="3.7109375" customWidth="1"/>
    <col min="7181" max="7181" width="4.5703125" customWidth="1"/>
    <col min="7182" max="7424" width="11.42578125" hidden="1"/>
    <col min="7425" max="7425" width="2" customWidth="1"/>
    <col min="7426" max="7426" width="2.42578125" customWidth="1"/>
    <col min="7427" max="7427" width="22" customWidth="1"/>
    <col min="7428" max="7428" width="68.85546875" customWidth="1"/>
    <col min="7429" max="7430" width="21" customWidth="1"/>
    <col min="7431" max="7431" width="4.85546875" customWidth="1"/>
    <col min="7432" max="7432" width="11.42578125" customWidth="1"/>
    <col min="7433" max="7433" width="64.140625" customWidth="1"/>
    <col min="7434" max="7435" width="21" customWidth="1"/>
    <col min="7436" max="7436" width="3.7109375" customWidth="1"/>
    <col min="7437" max="7437" width="4.5703125" customWidth="1"/>
    <col min="7438" max="7680" width="11.42578125" hidden="1"/>
    <col min="7681" max="7681" width="2" customWidth="1"/>
    <col min="7682" max="7682" width="2.42578125" customWidth="1"/>
    <col min="7683" max="7683" width="22" customWidth="1"/>
    <col min="7684" max="7684" width="68.85546875" customWidth="1"/>
    <col min="7685" max="7686" width="21" customWidth="1"/>
    <col min="7687" max="7687" width="4.85546875" customWidth="1"/>
    <col min="7688" max="7688" width="11.42578125" customWidth="1"/>
    <col min="7689" max="7689" width="64.140625" customWidth="1"/>
    <col min="7690" max="7691" width="21" customWidth="1"/>
    <col min="7692" max="7692" width="3.7109375" customWidth="1"/>
    <col min="7693" max="7693" width="4.5703125" customWidth="1"/>
    <col min="7694" max="7936" width="11.42578125" hidden="1"/>
    <col min="7937" max="7937" width="2" customWidth="1"/>
    <col min="7938" max="7938" width="2.42578125" customWidth="1"/>
    <col min="7939" max="7939" width="22" customWidth="1"/>
    <col min="7940" max="7940" width="68.85546875" customWidth="1"/>
    <col min="7941" max="7942" width="21" customWidth="1"/>
    <col min="7943" max="7943" width="4.85546875" customWidth="1"/>
    <col min="7944" max="7944" width="11.42578125" customWidth="1"/>
    <col min="7945" max="7945" width="64.140625" customWidth="1"/>
    <col min="7946" max="7947" width="21" customWidth="1"/>
    <col min="7948" max="7948" width="3.7109375" customWidth="1"/>
    <col min="7949" max="7949" width="4.5703125" customWidth="1"/>
    <col min="7950" max="8192" width="11.42578125" hidden="1"/>
    <col min="8193" max="8193" width="2" customWidth="1"/>
    <col min="8194" max="8194" width="2.42578125" customWidth="1"/>
    <col min="8195" max="8195" width="22" customWidth="1"/>
    <col min="8196" max="8196" width="68.85546875" customWidth="1"/>
    <col min="8197" max="8198" width="21" customWidth="1"/>
    <col min="8199" max="8199" width="4.85546875" customWidth="1"/>
    <col min="8200" max="8200" width="11.42578125" customWidth="1"/>
    <col min="8201" max="8201" width="64.140625" customWidth="1"/>
    <col min="8202" max="8203" width="21" customWidth="1"/>
    <col min="8204" max="8204" width="3.7109375" customWidth="1"/>
    <col min="8205" max="8205" width="4.5703125" customWidth="1"/>
    <col min="8206" max="8448" width="11.42578125" hidden="1"/>
    <col min="8449" max="8449" width="2" customWidth="1"/>
    <col min="8450" max="8450" width="2.42578125" customWidth="1"/>
    <col min="8451" max="8451" width="22" customWidth="1"/>
    <col min="8452" max="8452" width="68.85546875" customWidth="1"/>
    <col min="8453" max="8454" width="21" customWidth="1"/>
    <col min="8455" max="8455" width="4.85546875" customWidth="1"/>
    <col min="8456" max="8456" width="11.42578125" customWidth="1"/>
    <col min="8457" max="8457" width="64.140625" customWidth="1"/>
    <col min="8458" max="8459" width="21" customWidth="1"/>
    <col min="8460" max="8460" width="3.7109375" customWidth="1"/>
    <col min="8461" max="8461" width="4.5703125" customWidth="1"/>
    <col min="8462" max="8704" width="11.42578125" hidden="1"/>
    <col min="8705" max="8705" width="2" customWidth="1"/>
    <col min="8706" max="8706" width="2.42578125" customWidth="1"/>
    <col min="8707" max="8707" width="22" customWidth="1"/>
    <col min="8708" max="8708" width="68.85546875" customWidth="1"/>
    <col min="8709" max="8710" width="21" customWidth="1"/>
    <col min="8711" max="8711" width="4.85546875" customWidth="1"/>
    <col min="8712" max="8712" width="11.42578125" customWidth="1"/>
    <col min="8713" max="8713" width="64.140625" customWidth="1"/>
    <col min="8714" max="8715" width="21" customWidth="1"/>
    <col min="8716" max="8716" width="3.7109375" customWidth="1"/>
    <col min="8717" max="8717" width="4.5703125" customWidth="1"/>
    <col min="8718" max="8960" width="11.42578125" hidden="1"/>
    <col min="8961" max="8961" width="2" customWidth="1"/>
    <col min="8962" max="8962" width="2.42578125" customWidth="1"/>
    <col min="8963" max="8963" width="22" customWidth="1"/>
    <col min="8964" max="8964" width="68.85546875" customWidth="1"/>
    <col min="8965" max="8966" width="21" customWidth="1"/>
    <col min="8967" max="8967" width="4.85546875" customWidth="1"/>
    <col min="8968" max="8968" width="11.42578125" customWidth="1"/>
    <col min="8969" max="8969" width="64.140625" customWidth="1"/>
    <col min="8970" max="8971" width="21" customWidth="1"/>
    <col min="8972" max="8972" width="3.7109375" customWidth="1"/>
    <col min="8973" max="8973" width="4.5703125" customWidth="1"/>
    <col min="8974" max="9216" width="11.42578125" hidden="1"/>
    <col min="9217" max="9217" width="2" customWidth="1"/>
    <col min="9218" max="9218" width="2.42578125" customWidth="1"/>
    <col min="9219" max="9219" width="22" customWidth="1"/>
    <col min="9220" max="9220" width="68.85546875" customWidth="1"/>
    <col min="9221" max="9222" width="21" customWidth="1"/>
    <col min="9223" max="9223" width="4.85546875" customWidth="1"/>
    <col min="9224" max="9224" width="11.42578125" customWidth="1"/>
    <col min="9225" max="9225" width="64.140625" customWidth="1"/>
    <col min="9226" max="9227" width="21" customWidth="1"/>
    <col min="9228" max="9228" width="3.7109375" customWidth="1"/>
    <col min="9229" max="9229" width="4.5703125" customWidth="1"/>
    <col min="9230" max="9472" width="11.42578125" hidden="1"/>
    <col min="9473" max="9473" width="2" customWidth="1"/>
    <col min="9474" max="9474" width="2.42578125" customWidth="1"/>
    <col min="9475" max="9475" width="22" customWidth="1"/>
    <col min="9476" max="9476" width="68.85546875" customWidth="1"/>
    <col min="9477" max="9478" width="21" customWidth="1"/>
    <col min="9479" max="9479" width="4.85546875" customWidth="1"/>
    <col min="9480" max="9480" width="11.42578125" customWidth="1"/>
    <col min="9481" max="9481" width="64.140625" customWidth="1"/>
    <col min="9482" max="9483" width="21" customWidth="1"/>
    <col min="9484" max="9484" width="3.7109375" customWidth="1"/>
    <col min="9485" max="9485" width="4.5703125" customWidth="1"/>
    <col min="9486" max="9728" width="11.42578125" hidden="1"/>
    <col min="9729" max="9729" width="2" customWidth="1"/>
    <col min="9730" max="9730" width="2.42578125" customWidth="1"/>
    <col min="9731" max="9731" width="22" customWidth="1"/>
    <col min="9732" max="9732" width="68.85546875" customWidth="1"/>
    <col min="9733" max="9734" width="21" customWidth="1"/>
    <col min="9735" max="9735" width="4.85546875" customWidth="1"/>
    <col min="9736" max="9736" width="11.42578125" customWidth="1"/>
    <col min="9737" max="9737" width="64.140625" customWidth="1"/>
    <col min="9738" max="9739" width="21" customWidth="1"/>
    <col min="9740" max="9740" width="3.7109375" customWidth="1"/>
    <col min="9741" max="9741" width="4.5703125" customWidth="1"/>
    <col min="9742" max="9984" width="11.42578125" hidden="1"/>
    <col min="9985" max="9985" width="2" customWidth="1"/>
    <col min="9986" max="9986" width="2.42578125" customWidth="1"/>
    <col min="9987" max="9987" width="22" customWidth="1"/>
    <col min="9988" max="9988" width="68.85546875" customWidth="1"/>
    <col min="9989" max="9990" width="21" customWidth="1"/>
    <col min="9991" max="9991" width="4.85546875" customWidth="1"/>
    <col min="9992" max="9992" width="11.42578125" customWidth="1"/>
    <col min="9993" max="9993" width="64.140625" customWidth="1"/>
    <col min="9994" max="9995" width="21" customWidth="1"/>
    <col min="9996" max="9996" width="3.7109375" customWidth="1"/>
    <col min="9997" max="9997" width="4.5703125" customWidth="1"/>
    <col min="9998" max="10240" width="11.42578125" hidden="1"/>
    <col min="10241" max="10241" width="2" customWidth="1"/>
    <col min="10242" max="10242" width="2.42578125" customWidth="1"/>
    <col min="10243" max="10243" width="22" customWidth="1"/>
    <col min="10244" max="10244" width="68.85546875" customWidth="1"/>
    <col min="10245" max="10246" width="21" customWidth="1"/>
    <col min="10247" max="10247" width="4.85546875" customWidth="1"/>
    <col min="10248" max="10248" width="11.42578125" customWidth="1"/>
    <col min="10249" max="10249" width="64.140625" customWidth="1"/>
    <col min="10250" max="10251" width="21" customWidth="1"/>
    <col min="10252" max="10252" width="3.7109375" customWidth="1"/>
    <col min="10253" max="10253" width="4.5703125" customWidth="1"/>
    <col min="10254" max="10496" width="11.42578125" hidden="1"/>
    <col min="10497" max="10497" width="2" customWidth="1"/>
    <col min="10498" max="10498" width="2.42578125" customWidth="1"/>
    <col min="10499" max="10499" width="22" customWidth="1"/>
    <col min="10500" max="10500" width="68.85546875" customWidth="1"/>
    <col min="10501" max="10502" width="21" customWidth="1"/>
    <col min="10503" max="10503" width="4.85546875" customWidth="1"/>
    <col min="10504" max="10504" width="11.42578125" customWidth="1"/>
    <col min="10505" max="10505" width="64.140625" customWidth="1"/>
    <col min="10506" max="10507" width="21" customWidth="1"/>
    <col min="10508" max="10508" width="3.7109375" customWidth="1"/>
    <col min="10509" max="10509" width="4.5703125" customWidth="1"/>
    <col min="10510" max="10752" width="11.42578125" hidden="1"/>
    <col min="10753" max="10753" width="2" customWidth="1"/>
    <col min="10754" max="10754" width="2.42578125" customWidth="1"/>
    <col min="10755" max="10755" width="22" customWidth="1"/>
    <col min="10756" max="10756" width="68.85546875" customWidth="1"/>
    <col min="10757" max="10758" width="21" customWidth="1"/>
    <col min="10759" max="10759" width="4.85546875" customWidth="1"/>
    <col min="10760" max="10760" width="11.42578125" customWidth="1"/>
    <col min="10761" max="10761" width="64.140625" customWidth="1"/>
    <col min="10762" max="10763" width="21" customWidth="1"/>
    <col min="10764" max="10764" width="3.7109375" customWidth="1"/>
    <col min="10765" max="10765" width="4.5703125" customWidth="1"/>
    <col min="10766" max="11008" width="11.42578125" hidden="1"/>
    <col min="11009" max="11009" width="2" customWidth="1"/>
    <col min="11010" max="11010" width="2.42578125" customWidth="1"/>
    <col min="11011" max="11011" width="22" customWidth="1"/>
    <col min="11012" max="11012" width="68.85546875" customWidth="1"/>
    <col min="11013" max="11014" width="21" customWidth="1"/>
    <col min="11015" max="11015" width="4.85546875" customWidth="1"/>
    <col min="11016" max="11016" width="11.42578125" customWidth="1"/>
    <col min="11017" max="11017" width="64.140625" customWidth="1"/>
    <col min="11018" max="11019" width="21" customWidth="1"/>
    <col min="11020" max="11020" width="3.7109375" customWidth="1"/>
    <col min="11021" max="11021" width="4.5703125" customWidth="1"/>
    <col min="11022" max="11264" width="11.42578125" hidden="1"/>
    <col min="11265" max="11265" width="2" customWidth="1"/>
    <col min="11266" max="11266" width="2.42578125" customWidth="1"/>
    <col min="11267" max="11267" width="22" customWidth="1"/>
    <col min="11268" max="11268" width="68.85546875" customWidth="1"/>
    <col min="11269" max="11270" width="21" customWidth="1"/>
    <col min="11271" max="11271" width="4.85546875" customWidth="1"/>
    <col min="11272" max="11272" width="11.42578125" customWidth="1"/>
    <col min="11273" max="11273" width="64.140625" customWidth="1"/>
    <col min="11274" max="11275" width="21" customWidth="1"/>
    <col min="11276" max="11276" width="3.7109375" customWidth="1"/>
    <col min="11277" max="11277" width="4.5703125" customWidth="1"/>
    <col min="11278" max="11520" width="11.42578125" hidden="1"/>
    <col min="11521" max="11521" width="2" customWidth="1"/>
    <col min="11522" max="11522" width="2.42578125" customWidth="1"/>
    <col min="11523" max="11523" width="22" customWidth="1"/>
    <col min="11524" max="11524" width="68.85546875" customWidth="1"/>
    <col min="11525" max="11526" width="21" customWidth="1"/>
    <col min="11527" max="11527" width="4.85546875" customWidth="1"/>
    <col min="11528" max="11528" width="11.42578125" customWidth="1"/>
    <col min="11529" max="11529" width="64.140625" customWidth="1"/>
    <col min="11530" max="11531" width="21" customWidth="1"/>
    <col min="11532" max="11532" width="3.7109375" customWidth="1"/>
    <col min="11533" max="11533" width="4.5703125" customWidth="1"/>
    <col min="11534" max="11776" width="11.42578125" hidden="1"/>
    <col min="11777" max="11777" width="2" customWidth="1"/>
    <col min="11778" max="11778" width="2.42578125" customWidth="1"/>
    <col min="11779" max="11779" width="22" customWidth="1"/>
    <col min="11780" max="11780" width="68.85546875" customWidth="1"/>
    <col min="11781" max="11782" width="21" customWidth="1"/>
    <col min="11783" max="11783" width="4.85546875" customWidth="1"/>
    <col min="11784" max="11784" width="11.42578125" customWidth="1"/>
    <col min="11785" max="11785" width="64.140625" customWidth="1"/>
    <col min="11786" max="11787" width="21" customWidth="1"/>
    <col min="11788" max="11788" width="3.7109375" customWidth="1"/>
    <col min="11789" max="11789" width="4.5703125" customWidth="1"/>
    <col min="11790" max="12032" width="11.42578125" hidden="1"/>
    <col min="12033" max="12033" width="2" customWidth="1"/>
    <col min="12034" max="12034" width="2.42578125" customWidth="1"/>
    <col min="12035" max="12035" width="22" customWidth="1"/>
    <col min="12036" max="12036" width="68.85546875" customWidth="1"/>
    <col min="12037" max="12038" width="21" customWidth="1"/>
    <col min="12039" max="12039" width="4.85546875" customWidth="1"/>
    <col min="12040" max="12040" width="11.42578125" customWidth="1"/>
    <col min="12041" max="12041" width="64.140625" customWidth="1"/>
    <col min="12042" max="12043" width="21" customWidth="1"/>
    <col min="12044" max="12044" width="3.7109375" customWidth="1"/>
    <col min="12045" max="12045" width="4.5703125" customWidth="1"/>
    <col min="12046" max="12288" width="11.42578125" hidden="1"/>
    <col min="12289" max="12289" width="2" customWidth="1"/>
    <col min="12290" max="12290" width="2.42578125" customWidth="1"/>
    <col min="12291" max="12291" width="22" customWidth="1"/>
    <col min="12292" max="12292" width="68.85546875" customWidth="1"/>
    <col min="12293" max="12294" width="21" customWidth="1"/>
    <col min="12295" max="12295" width="4.85546875" customWidth="1"/>
    <col min="12296" max="12296" width="11.42578125" customWidth="1"/>
    <col min="12297" max="12297" width="64.140625" customWidth="1"/>
    <col min="12298" max="12299" width="21" customWidth="1"/>
    <col min="12300" max="12300" width="3.7109375" customWidth="1"/>
    <col min="12301" max="12301" width="4.5703125" customWidth="1"/>
    <col min="12302" max="12544" width="11.42578125" hidden="1"/>
    <col min="12545" max="12545" width="2" customWidth="1"/>
    <col min="12546" max="12546" width="2.42578125" customWidth="1"/>
    <col min="12547" max="12547" width="22" customWidth="1"/>
    <col min="12548" max="12548" width="68.85546875" customWidth="1"/>
    <col min="12549" max="12550" width="21" customWidth="1"/>
    <col min="12551" max="12551" width="4.85546875" customWidth="1"/>
    <col min="12552" max="12552" width="11.42578125" customWidth="1"/>
    <col min="12553" max="12553" width="64.140625" customWidth="1"/>
    <col min="12554" max="12555" width="21" customWidth="1"/>
    <col min="12556" max="12556" width="3.7109375" customWidth="1"/>
    <col min="12557" max="12557" width="4.5703125" customWidth="1"/>
    <col min="12558" max="12800" width="11.42578125" hidden="1"/>
    <col min="12801" max="12801" width="2" customWidth="1"/>
    <col min="12802" max="12802" width="2.42578125" customWidth="1"/>
    <col min="12803" max="12803" width="22" customWidth="1"/>
    <col min="12804" max="12804" width="68.85546875" customWidth="1"/>
    <col min="12805" max="12806" width="21" customWidth="1"/>
    <col min="12807" max="12807" width="4.85546875" customWidth="1"/>
    <col min="12808" max="12808" width="11.42578125" customWidth="1"/>
    <col min="12809" max="12809" width="64.140625" customWidth="1"/>
    <col min="12810" max="12811" width="21" customWidth="1"/>
    <col min="12812" max="12812" width="3.7109375" customWidth="1"/>
    <col min="12813" max="12813" width="4.5703125" customWidth="1"/>
    <col min="12814" max="13056" width="11.42578125" hidden="1"/>
    <col min="13057" max="13057" width="2" customWidth="1"/>
    <col min="13058" max="13058" width="2.42578125" customWidth="1"/>
    <col min="13059" max="13059" width="22" customWidth="1"/>
    <col min="13060" max="13060" width="68.85546875" customWidth="1"/>
    <col min="13061" max="13062" width="21" customWidth="1"/>
    <col min="13063" max="13063" width="4.85546875" customWidth="1"/>
    <col min="13064" max="13064" width="11.42578125" customWidth="1"/>
    <col min="13065" max="13065" width="64.140625" customWidth="1"/>
    <col min="13066" max="13067" width="21" customWidth="1"/>
    <col min="13068" max="13068" width="3.7109375" customWidth="1"/>
    <col min="13069" max="13069" width="4.5703125" customWidth="1"/>
    <col min="13070" max="13312" width="11.42578125" hidden="1"/>
    <col min="13313" max="13313" width="2" customWidth="1"/>
    <col min="13314" max="13314" width="2.42578125" customWidth="1"/>
    <col min="13315" max="13315" width="22" customWidth="1"/>
    <col min="13316" max="13316" width="68.85546875" customWidth="1"/>
    <col min="13317" max="13318" width="21" customWidth="1"/>
    <col min="13319" max="13319" width="4.85546875" customWidth="1"/>
    <col min="13320" max="13320" width="11.42578125" customWidth="1"/>
    <col min="13321" max="13321" width="64.140625" customWidth="1"/>
    <col min="13322" max="13323" width="21" customWidth="1"/>
    <col min="13324" max="13324" width="3.7109375" customWidth="1"/>
    <col min="13325" max="13325" width="4.5703125" customWidth="1"/>
    <col min="13326" max="13568" width="11.42578125" hidden="1"/>
    <col min="13569" max="13569" width="2" customWidth="1"/>
    <col min="13570" max="13570" width="2.42578125" customWidth="1"/>
    <col min="13571" max="13571" width="22" customWidth="1"/>
    <col min="13572" max="13572" width="68.85546875" customWidth="1"/>
    <col min="13573" max="13574" width="21" customWidth="1"/>
    <col min="13575" max="13575" width="4.85546875" customWidth="1"/>
    <col min="13576" max="13576" width="11.42578125" customWidth="1"/>
    <col min="13577" max="13577" width="64.140625" customWidth="1"/>
    <col min="13578" max="13579" width="21" customWidth="1"/>
    <col min="13580" max="13580" width="3.7109375" customWidth="1"/>
    <col min="13581" max="13581" width="4.5703125" customWidth="1"/>
    <col min="13582" max="13824" width="11.42578125" hidden="1"/>
    <col min="13825" max="13825" width="2" customWidth="1"/>
    <col min="13826" max="13826" width="2.42578125" customWidth="1"/>
    <col min="13827" max="13827" width="22" customWidth="1"/>
    <col min="13828" max="13828" width="68.85546875" customWidth="1"/>
    <col min="13829" max="13830" width="21" customWidth="1"/>
    <col min="13831" max="13831" width="4.85546875" customWidth="1"/>
    <col min="13832" max="13832" width="11.42578125" customWidth="1"/>
    <col min="13833" max="13833" width="64.140625" customWidth="1"/>
    <col min="13834" max="13835" width="21" customWidth="1"/>
    <col min="13836" max="13836" width="3.7109375" customWidth="1"/>
    <col min="13837" max="13837" width="4.5703125" customWidth="1"/>
    <col min="13838" max="14080" width="11.42578125" hidden="1"/>
    <col min="14081" max="14081" width="2" customWidth="1"/>
    <col min="14082" max="14082" width="2.42578125" customWidth="1"/>
    <col min="14083" max="14083" width="22" customWidth="1"/>
    <col min="14084" max="14084" width="68.85546875" customWidth="1"/>
    <col min="14085" max="14086" width="21" customWidth="1"/>
    <col min="14087" max="14087" width="4.85546875" customWidth="1"/>
    <col min="14088" max="14088" width="11.42578125" customWidth="1"/>
    <col min="14089" max="14089" width="64.140625" customWidth="1"/>
    <col min="14090" max="14091" width="21" customWidth="1"/>
    <col min="14092" max="14092" width="3.7109375" customWidth="1"/>
    <col min="14093" max="14093" width="4.5703125" customWidth="1"/>
    <col min="14094" max="14336" width="11.42578125" hidden="1"/>
    <col min="14337" max="14337" width="2" customWidth="1"/>
    <col min="14338" max="14338" width="2.42578125" customWidth="1"/>
    <col min="14339" max="14339" width="22" customWidth="1"/>
    <col min="14340" max="14340" width="68.85546875" customWidth="1"/>
    <col min="14341" max="14342" width="21" customWidth="1"/>
    <col min="14343" max="14343" width="4.85546875" customWidth="1"/>
    <col min="14344" max="14344" width="11.42578125" customWidth="1"/>
    <col min="14345" max="14345" width="64.140625" customWidth="1"/>
    <col min="14346" max="14347" width="21" customWidth="1"/>
    <col min="14348" max="14348" width="3.7109375" customWidth="1"/>
    <col min="14349" max="14349" width="4.5703125" customWidth="1"/>
    <col min="14350" max="14592" width="11.42578125" hidden="1"/>
    <col min="14593" max="14593" width="2" customWidth="1"/>
    <col min="14594" max="14594" width="2.42578125" customWidth="1"/>
    <col min="14595" max="14595" width="22" customWidth="1"/>
    <col min="14596" max="14596" width="68.85546875" customWidth="1"/>
    <col min="14597" max="14598" width="21" customWidth="1"/>
    <col min="14599" max="14599" width="4.85546875" customWidth="1"/>
    <col min="14600" max="14600" width="11.42578125" customWidth="1"/>
    <col min="14601" max="14601" width="64.140625" customWidth="1"/>
    <col min="14602" max="14603" width="21" customWidth="1"/>
    <col min="14604" max="14604" width="3.7109375" customWidth="1"/>
    <col min="14605" max="14605" width="4.5703125" customWidth="1"/>
    <col min="14606" max="14848" width="11.42578125" hidden="1"/>
    <col min="14849" max="14849" width="2" customWidth="1"/>
    <col min="14850" max="14850" width="2.42578125" customWidth="1"/>
    <col min="14851" max="14851" width="22" customWidth="1"/>
    <col min="14852" max="14852" width="68.85546875" customWidth="1"/>
    <col min="14853" max="14854" width="21" customWidth="1"/>
    <col min="14855" max="14855" width="4.85546875" customWidth="1"/>
    <col min="14856" max="14856" width="11.42578125" customWidth="1"/>
    <col min="14857" max="14857" width="64.140625" customWidth="1"/>
    <col min="14858" max="14859" width="21" customWidth="1"/>
    <col min="14860" max="14860" width="3.7109375" customWidth="1"/>
    <col min="14861" max="14861" width="4.5703125" customWidth="1"/>
    <col min="14862" max="15104" width="11.42578125" hidden="1"/>
    <col min="15105" max="15105" width="2" customWidth="1"/>
    <col min="15106" max="15106" width="2.42578125" customWidth="1"/>
    <col min="15107" max="15107" width="22" customWidth="1"/>
    <col min="15108" max="15108" width="68.85546875" customWidth="1"/>
    <col min="15109" max="15110" width="21" customWidth="1"/>
    <col min="15111" max="15111" width="4.85546875" customWidth="1"/>
    <col min="15112" max="15112" width="11.42578125" customWidth="1"/>
    <col min="15113" max="15113" width="64.140625" customWidth="1"/>
    <col min="15114" max="15115" width="21" customWidth="1"/>
    <col min="15116" max="15116" width="3.7109375" customWidth="1"/>
    <col min="15117" max="15117" width="4.5703125" customWidth="1"/>
    <col min="15118" max="15360" width="11.42578125" hidden="1"/>
    <col min="15361" max="15361" width="2" customWidth="1"/>
    <col min="15362" max="15362" width="2.42578125" customWidth="1"/>
    <col min="15363" max="15363" width="22" customWidth="1"/>
    <col min="15364" max="15364" width="68.85546875" customWidth="1"/>
    <col min="15365" max="15366" width="21" customWidth="1"/>
    <col min="15367" max="15367" width="4.85546875" customWidth="1"/>
    <col min="15368" max="15368" width="11.42578125" customWidth="1"/>
    <col min="15369" max="15369" width="64.140625" customWidth="1"/>
    <col min="15370" max="15371" width="21" customWidth="1"/>
    <col min="15372" max="15372" width="3.7109375" customWidth="1"/>
    <col min="15373" max="15373" width="4.5703125" customWidth="1"/>
    <col min="15374" max="15616" width="11.42578125" hidden="1"/>
    <col min="15617" max="15617" width="2" customWidth="1"/>
    <col min="15618" max="15618" width="2.42578125" customWidth="1"/>
    <col min="15619" max="15619" width="22" customWidth="1"/>
    <col min="15620" max="15620" width="68.85546875" customWidth="1"/>
    <col min="15621" max="15622" width="21" customWidth="1"/>
    <col min="15623" max="15623" width="4.85546875" customWidth="1"/>
    <col min="15624" max="15624" width="11.42578125" customWidth="1"/>
    <col min="15625" max="15625" width="64.140625" customWidth="1"/>
    <col min="15626" max="15627" width="21" customWidth="1"/>
    <col min="15628" max="15628" width="3.7109375" customWidth="1"/>
    <col min="15629" max="15629" width="4.5703125" customWidth="1"/>
    <col min="15630" max="15872" width="11.42578125" hidden="1"/>
    <col min="15873" max="15873" width="2" customWidth="1"/>
    <col min="15874" max="15874" width="2.42578125" customWidth="1"/>
    <col min="15875" max="15875" width="22" customWidth="1"/>
    <col min="15876" max="15876" width="68.85546875" customWidth="1"/>
    <col min="15877" max="15878" width="21" customWidth="1"/>
    <col min="15879" max="15879" width="4.85546875" customWidth="1"/>
    <col min="15880" max="15880" width="11.42578125" customWidth="1"/>
    <col min="15881" max="15881" width="64.140625" customWidth="1"/>
    <col min="15882" max="15883" width="21" customWidth="1"/>
    <col min="15884" max="15884" width="3.7109375" customWidth="1"/>
    <col min="15885" max="15885" width="4.5703125" customWidth="1"/>
    <col min="15886" max="16128" width="11.42578125" hidden="1"/>
    <col min="16129" max="16129" width="2" customWidth="1"/>
    <col min="16130" max="16130" width="2.42578125" customWidth="1"/>
    <col min="16131" max="16131" width="22" customWidth="1"/>
    <col min="16132" max="16132" width="68.85546875" customWidth="1"/>
    <col min="16133" max="16134" width="21" customWidth="1"/>
    <col min="16135" max="16135" width="4.85546875" customWidth="1"/>
    <col min="16136" max="16136" width="11.42578125" customWidth="1"/>
    <col min="16137" max="16137" width="64.140625" customWidth="1"/>
    <col min="16138" max="16139" width="21" customWidth="1"/>
    <col min="16140" max="16140" width="3.7109375" customWidth="1"/>
    <col min="16141" max="16141" width="4.5703125" customWidth="1"/>
    <col min="16142" max="16384" width="11.42578125" hidden="1"/>
  </cols>
  <sheetData>
    <row r="1" spans="2:12"/>
    <row r="2" spans="2:12">
      <c r="B2" s="49"/>
      <c r="C2" s="50"/>
      <c r="D2" s="533" t="s">
        <v>412</v>
      </c>
      <c r="E2" s="533"/>
      <c r="F2" s="533"/>
      <c r="G2" s="533"/>
      <c r="H2" s="533"/>
      <c r="I2" s="533"/>
      <c r="J2" s="533"/>
      <c r="K2" s="50"/>
      <c r="L2" s="50"/>
    </row>
    <row r="3" spans="2:12">
      <c r="C3" s="51"/>
      <c r="D3" s="533" t="s">
        <v>66</v>
      </c>
      <c r="E3" s="533"/>
      <c r="F3" s="533"/>
      <c r="G3" s="533"/>
      <c r="H3" s="533"/>
      <c r="I3" s="533"/>
      <c r="J3" s="533"/>
      <c r="K3" s="51"/>
      <c r="L3" s="51"/>
    </row>
    <row r="4" spans="2:12">
      <c r="C4" s="51"/>
      <c r="D4" s="533" t="s">
        <v>424</v>
      </c>
      <c r="E4" s="533"/>
      <c r="F4" s="533"/>
      <c r="G4" s="533"/>
      <c r="H4" s="533"/>
      <c r="I4" s="533"/>
      <c r="J4" s="533"/>
      <c r="K4" s="51"/>
      <c r="L4" s="51"/>
    </row>
    <row r="5" spans="2:12">
      <c r="C5" s="51"/>
      <c r="D5" s="533" t="s">
        <v>2</v>
      </c>
      <c r="E5" s="533"/>
      <c r="F5" s="533"/>
      <c r="G5" s="533"/>
      <c r="H5" s="533"/>
      <c r="I5" s="533"/>
      <c r="J5" s="533"/>
      <c r="K5" s="51"/>
      <c r="L5" s="51"/>
    </row>
    <row r="6" spans="2:12">
      <c r="B6" s="419"/>
      <c r="C6" s="419"/>
      <c r="D6" s="52"/>
      <c r="E6" s="52"/>
      <c r="F6" s="52"/>
      <c r="G6" s="52"/>
      <c r="H6" s="52"/>
      <c r="I6" s="52"/>
      <c r="J6" s="49"/>
      <c r="K6" s="49"/>
      <c r="L6" s="49"/>
    </row>
    <row r="7" spans="2:12">
      <c r="B7" s="419"/>
      <c r="C7" s="53" t="s">
        <v>3</v>
      </c>
      <c r="D7" s="525" t="s">
        <v>421</v>
      </c>
      <c r="E7" s="525"/>
      <c r="F7" s="525"/>
      <c r="G7" s="525"/>
      <c r="H7" s="525"/>
      <c r="I7" s="525"/>
      <c r="J7" s="525"/>
      <c r="K7" s="525"/>
      <c r="L7" s="49"/>
    </row>
    <row r="8" spans="2:12">
      <c r="B8" s="419"/>
      <c r="C8" s="419"/>
      <c r="D8" s="419"/>
      <c r="E8" s="419"/>
      <c r="F8" s="419"/>
      <c r="G8" s="52"/>
      <c r="H8" s="54"/>
      <c r="I8" s="54"/>
      <c r="J8" s="49"/>
      <c r="K8" s="49"/>
      <c r="L8" s="49"/>
    </row>
    <row r="9" spans="2:12">
      <c r="B9" s="55"/>
      <c r="C9" s="55"/>
      <c r="D9" s="55"/>
      <c r="E9" s="56"/>
      <c r="F9" s="56"/>
      <c r="G9" s="57"/>
      <c r="H9" s="54"/>
      <c r="I9" s="54"/>
      <c r="J9" s="49"/>
      <c r="K9" s="49"/>
      <c r="L9" s="49"/>
    </row>
    <row r="10" spans="2:12">
      <c r="B10" s="97"/>
      <c r="C10" s="532" t="s">
        <v>67</v>
      </c>
      <c r="D10" s="532"/>
      <c r="E10" s="98">
        <v>2015</v>
      </c>
      <c r="F10" s="98">
        <v>2014</v>
      </c>
      <c r="G10" s="418"/>
      <c r="H10" s="532" t="s">
        <v>67</v>
      </c>
      <c r="I10" s="532"/>
      <c r="J10" s="98">
        <v>2015</v>
      </c>
      <c r="K10" s="98">
        <v>2014</v>
      </c>
      <c r="L10" s="99"/>
    </row>
    <row r="11" spans="2:12">
      <c r="B11" s="58"/>
      <c r="C11" s="59"/>
      <c r="D11" s="59"/>
      <c r="E11" s="60"/>
      <c r="F11" s="60"/>
      <c r="G11" s="54"/>
      <c r="H11" s="54"/>
      <c r="I11" s="54"/>
      <c r="J11" s="49"/>
      <c r="K11" s="49"/>
      <c r="L11" s="61"/>
    </row>
    <row r="12" spans="2:12">
      <c r="B12" s="62"/>
      <c r="C12" s="535" t="s">
        <v>68</v>
      </c>
      <c r="D12" s="535"/>
      <c r="E12" s="63"/>
      <c r="F12" s="63"/>
      <c r="G12" s="64"/>
      <c r="H12" s="535" t="s">
        <v>69</v>
      </c>
      <c r="I12" s="535"/>
      <c r="J12" s="63"/>
      <c r="K12" s="63"/>
      <c r="L12" s="65"/>
    </row>
    <row r="13" spans="2:12">
      <c r="B13" s="66"/>
      <c r="C13" s="536" t="s">
        <v>70</v>
      </c>
      <c r="D13" s="536"/>
      <c r="E13" s="22">
        <f>SUM(E14:E21)</f>
        <v>1249593.6400000001</v>
      </c>
      <c r="F13" s="22">
        <f>SUM(F14:F21)</f>
        <v>1390611.6400000001</v>
      </c>
      <c r="G13" s="64"/>
      <c r="H13" s="535" t="s">
        <v>71</v>
      </c>
      <c r="I13" s="535"/>
      <c r="J13" s="22">
        <f>SUM(J14:J16)</f>
        <v>29031749.300000001</v>
      </c>
      <c r="K13" s="22">
        <f>SUM(K14:K16)</f>
        <v>27295971.57</v>
      </c>
      <c r="L13" s="67"/>
    </row>
    <row r="14" spans="2:12">
      <c r="B14" s="68"/>
      <c r="C14" s="534" t="s">
        <v>72</v>
      </c>
      <c r="D14" s="534"/>
      <c r="E14" s="69">
        <v>0</v>
      </c>
      <c r="F14" s="69">
        <v>0</v>
      </c>
      <c r="G14" s="64"/>
      <c r="H14" s="534" t="s">
        <v>73</v>
      </c>
      <c r="I14" s="534"/>
      <c r="J14" s="69">
        <v>24259506.870000001</v>
      </c>
      <c r="K14" s="69">
        <v>21687176.289999999</v>
      </c>
      <c r="L14" s="67"/>
    </row>
    <row r="15" spans="2:12">
      <c r="B15" s="68"/>
      <c r="C15" s="534" t="s">
        <v>74</v>
      </c>
      <c r="D15" s="534"/>
      <c r="E15" s="69">
        <v>0</v>
      </c>
      <c r="F15" s="69">
        <v>0</v>
      </c>
      <c r="G15" s="64"/>
      <c r="H15" s="534" t="s">
        <v>75</v>
      </c>
      <c r="I15" s="534"/>
      <c r="J15" s="69">
        <v>1282816.56</v>
      </c>
      <c r="K15" s="69">
        <v>1266711.8500000001</v>
      </c>
      <c r="L15" s="67"/>
    </row>
    <row r="16" spans="2:12">
      <c r="B16" s="68"/>
      <c r="C16" s="534" t="s">
        <v>76</v>
      </c>
      <c r="D16" s="534"/>
      <c r="E16" s="69">
        <v>0</v>
      </c>
      <c r="F16" s="69">
        <v>0</v>
      </c>
      <c r="G16" s="64"/>
      <c r="H16" s="534" t="s">
        <v>77</v>
      </c>
      <c r="I16" s="534"/>
      <c r="J16" s="69">
        <v>3489425.87</v>
      </c>
      <c r="K16" s="69">
        <v>4342083.43</v>
      </c>
      <c r="L16" s="67"/>
    </row>
    <row r="17" spans="2:12">
      <c r="B17" s="68"/>
      <c r="C17" s="534" t="s">
        <v>78</v>
      </c>
      <c r="D17" s="534"/>
      <c r="E17" s="69">
        <v>0</v>
      </c>
      <c r="F17" s="69">
        <v>0</v>
      </c>
      <c r="G17" s="64"/>
      <c r="H17" s="420"/>
      <c r="I17" s="70"/>
      <c r="J17" s="71"/>
      <c r="K17" s="71"/>
      <c r="L17" s="67"/>
    </row>
    <row r="18" spans="2:12">
      <c r="B18" s="68"/>
      <c r="C18" s="534" t="s">
        <v>79</v>
      </c>
      <c r="D18" s="534"/>
      <c r="E18" s="69">
        <v>202393.64</v>
      </c>
      <c r="F18" s="69">
        <v>343915.94</v>
      </c>
      <c r="G18" s="64"/>
      <c r="H18" s="535" t="s">
        <v>80</v>
      </c>
      <c r="I18" s="535"/>
      <c r="J18" s="22">
        <f>SUM(J19:J27)</f>
        <v>924327.6</v>
      </c>
      <c r="K18" s="22">
        <f>SUM(K19:K27)</f>
        <v>407710.92</v>
      </c>
      <c r="L18" s="67"/>
    </row>
    <row r="19" spans="2:12">
      <c r="B19" s="68"/>
      <c r="C19" s="534" t="s">
        <v>81</v>
      </c>
      <c r="D19" s="534"/>
      <c r="E19" s="69">
        <v>0</v>
      </c>
      <c r="F19" s="69">
        <v>12014.7</v>
      </c>
      <c r="G19" s="64"/>
      <c r="H19" s="534" t="s">
        <v>82</v>
      </c>
      <c r="I19" s="534"/>
      <c r="J19" s="69">
        <v>446748</v>
      </c>
      <c r="K19" s="69">
        <v>0</v>
      </c>
      <c r="L19" s="67"/>
    </row>
    <row r="20" spans="2:12">
      <c r="B20" s="68"/>
      <c r="C20" s="534" t="s">
        <v>83</v>
      </c>
      <c r="D20" s="534"/>
      <c r="E20" s="69">
        <v>1047200</v>
      </c>
      <c r="F20" s="69">
        <v>1034681</v>
      </c>
      <c r="G20" s="64"/>
      <c r="H20" s="534" t="s">
        <v>84</v>
      </c>
      <c r="I20" s="534"/>
      <c r="J20" s="69">
        <v>0</v>
      </c>
      <c r="K20" s="69">
        <v>0</v>
      </c>
      <c r="L20" s="67"/>
    </row>
    <row r="21" spans="2:12" ht="22.5" customHeight="1">
      <c r="B21" s="68"/>
      <c r="C21" s="534" t="s">
        <v>85</v>
      </c>
      <c r="D21" s="534"/>
      <c r="E21" s="69">
        <v>0</v>
      </c>
      <c r="F21" s="69">
        <v>0</v>
      </c>
      <c r="G21" s="64"/>
      <c r="H21" s="534" t="s">
        <v>86</v>
      </c>
      <c r="I21" s="534"/>
      <c r="J21" s="69">
        <v>0</v>
      </c>
      <c r="K21" s="69">
        <v>0</v>
      </c>
      <c r="L21" s="67"/>
    </row>
    <row r="22" spans="2:12">
      <c r="B22" s="66"/>
      <c r="C22" s="420"/>
      <c r="D22" s="70"/>
      <c r="E22" s="71"/>
      <c r="F22" s="71"/>
      <c r="G22" s="64"/>
      <c r="H22" s="534" t="s">
        <v>87</v>
      </c>
      <c r="I22" s="534"/>
      <c r="J22" s="69">
        <v>477579.6</v>
      </c>
      <c r="K22" s="69">
        <v>407710.92</v>
      </c>
      <c r="L22" s="67"/>
    </row>
    <row r="23" spans="2:12">
      <c r="B23" s="66"/>
      <c r="C23" s="536" t="s">
        <v>88</v>
      </c>
      <c r="D23" s="536"/>
      <c r="E23" s="22">
        <f>SUM(E24:E25)</f>
        <v>31556144.41</v>
      </c>
      <c r="F23" s="22">
        <f>SUM(F24:F25)</f>
        <v>28829453</v>
      </c>
      <c r="G23" s="64"/>
      <c r="H23" s="534" t="s">
        <v>89</v>
      </c>
      <c r="I23" s="534"/>
      <c r="J23" s="69">
        <v>0</v>
      </c>
      <c r="K23" s="69">
        <v>0</v>
      </c>
      <c r="L23" s="67"/>
    </row>
    <row r="24" spans="2:12">
      <c r="B24" s="68"/>
      <c r="C24" s="534" t="s">
        <v>90</v>
      </c>
      <c r="D24" s="534"/>
      <c r="E24" s="25">
        <v>0</v>
      </c>
      <c r="F24" s="25">
        <v>0</v>
      </c>
      <c r="G24" s="64"/>
      <c r="H24" s="534" t="s">
        <v>91</v>
      </c>
      <c r="I24" s="534"/>
      <c r="J24" s="69">
        <v>0</v>
      </c>
      <c r="K24" s="69">
        <v>0</v>
      </c>
      <c r="L24" s="67"/>
    </row>
    <row r="25" spans="2:12">
      <c r="B25" s="68"/>
      <c r="C25" s="534" t="s">
        <v>92</v>
      </c>
      <c r="D25" s="534"/>
      <c r="E25" s="69">
        <v>31556144.41</v>
      </c>
      <c r="F25" s="69">
        <v>28829453</v>
      </c>
      <c r="G25" s="64"/>
      <c r="H25" s="534" t="s">
        <v>93</v>
      </c>
      <c r="I25" s="534"/>
      <c r="J25" s="69">
        <v>0</v>
      </c>
      <c r="K25" s="69">
        <v>0</v>
      </c>
      <c r="L25" s="67"/>
    </row>
    <row r="26" spans="2:12">
      <c r="B26" s="66"/>
      <c r="C26" s="420"/>
      <c r="D26" s="70"/>
      <c r="E26" s="71"/>
      <c r="F26" s="71"/>
      <c r="G26" s="64"/>
      <c r="H26" s="534" t="s">
        <v>94</v>
      </c>
      <c r="I26" s="534"/>
      <c r="J26" s="69">
        <v>0</v>
      </c>
      <c r="K26" s="69">
        <v>0</v>
      </c>
      <c r="L26" s="67"/>
    </row>
    <row r="27" spans="2:12">
      <c r="B27" s="68"/>
      <c r="C27" s="536" t="s">
        <v>95</v>
      </c>
      <c r="D27" s="536"/>
      <c r="E27" s="22">
        <f>SUM(E28:E32)</f>
        <v>0</v>
      </c>
      <c r="F27" s="22">
        <f>SUM(F28:F32)</f>
        <v>0</v>
      </c>
      <c r="G27" s="64"/>
      <c r="H27" s="534" t="s">
        <v>96</v>
      </c>
      <c r="I27" s="534"/>
      <c r="J27" s="69">
        <v>0</v>
      </c>
      <c r="K27" s="69">
        <v>0</v>
      </c>
      <c r="L27" s="67"/>
    </row>
    <row r="28" spans="2:12">
      <c r="B28" s="68"/>
      <c r="C28" s="534" t="s">
        <v>97</v>
      </c>
      <c r="D28" s="534"/>
      <c r="E28" s="69">
        <v>0</v>
      </c>
      <c r="F28" s="69">
        <v>0</v>
      </c>
      <c r="G28" s="64"/>
      <c r="H28" s="420"/>
      <c r="I28" s="70"/>
      <c r="J28" s="71"/>
      <c r="K28" s="71"/>
      <c r="L28" s="67"/>
    </row>
    <row r="29" spans="2:12">
      <c r="B29" s="68"/>
      <c r="C29" s="534" t="s">
        <v>98</v>
      </c>
      <c r="D29" s="534"/>
      <c r="E29" s="69">
        <v>0</v>
      </c>
      <c r="F29" s="69">
        <v>0</v>
      </c>
      <c r="G29" s="64"/>
      <c r="H29" s="536" t="s">
        <v>90</v>
      </c>
      <c r="I29" s="536"/>
      <c r="J29" s="22">
        <f>SUM(J30:J32)</f>
        <v>0</v>
      </c>
      <c r="K29" s="22">
        <f>SUM(K30:K32)</f>
        <v>0</v>
      </c>
      <c r="L29" s="67"/>
    </row>
    <row r="30" spans="2:12">
      <c r="B30" s="68"/>
      <c r="C30" s="534" t="s">
        <v>99</v>
      </c>
      <c r="D30" s="534"/>
      <c r="E30" s="69">
        <v>0</v>
      </c>
      <c r="F30" s="69">
        <v>0</v>
      </c>
      <c r="G30" s="64"/>
      <c r="H30" s="534" t="s">
        <v>100</v>
      </c>
      <c r="I30" s="534"/>
      <c r="J30" s="69">
        <v>0</v>
      </c>
      <c r="K30" s="69">
        <v>0</v>
      </c>
      <c r="L30" s="67"/>
    </row>
    <row r="31" spans="2:12">
      <c r="B31" s="68"/>
      <c r="C31" s="534" t="s">
        <v>101</v>
      </c>
      <c r="D31" s="534"/>
      <c r="E31" s="69">
        <v>0</v>
      </c>
      <c r="F31" s="69">
        <v>0</v>
      </c>
      <c r="G31" s="64"/>
      <c r="H31" s="534" t="s">
        <v>51</v>
      </c>
      <c r="I31" s="534"/>
      <c r="J31" s="69">
        <v>0</v>
      </c>
      <c r="K31" s="69">
        <v>0</v>
      </c>
      <c r="L31" s="67"/>
    </row>
    <row r="32" spans="2:12">
      <c r="B32" s="68"/>
      <c r="C32" s="534" t="s">
        <v>102</v>
      </c>
      <c r="D32" s="534"/>
      <c r="E32" s="69">
        <v>0</v>
      </c>
      <c r="F32" s="69">
        <v>0</v>
      </c>
      <c r="G32" s="64"/>
      <c r="H32" s="534" t="s">
        <v>103</v>
      </c>
      <c r="I32" s="534"/>
      <c r="J32" s="69">
        <v>0</v>
      </c>
      <c r="K32" s="69">
        <v>0</v>
      </c>
      <c r="L32" s="67"/>
    </row>
    <row r="33" spans="2:12">
      <c r="B33" s="66"/>
      <c r="C33" s="420"/>
      <c r="D33" s="72"/>
      <c r="E33" s="63"/>
      <c r="F33" s="63"/>
      <c r="G33" s="64"/>
      <c r="H33" s="420"/>
      <c r="I33" s="70"/>
      <c r="J33" s="71"/>
      <c r="K33" s="71"/>
      <c r="L33" s="67"/>
    </row>
    <row r="34" spans="2:12">
      <c r="B34" s="73"/>
      <c r="C34" s="537" t="s">
        <v>104</v>
      </c>
      <c r="D34" s="537"/>
      <c r="E34" s="74">
        <f>E13+E23+E27</f>
        <v>32805738.050000001</v>
      </c>
      <c r="F34" s="74">
        <f>F13+F23+F27</f>
        <v>30220064.640000001</v>
      </c>
      <c r="G34" s="75"/>
      <c r="H34" s="535" t="s">
        <v>105</v>
      </c>
      <c r="I34" s="535"/>
      <c r="J34" s="30">
        <f>SUM(J35:J39)</f>
        <v>0</v>
      </c>
      <c r="K34" s="30">
        <f>SUM(K35:K39)</f>
        <v>0</v>
      </c>
      <c r="L34" s="67"/>
    </row>
    <row r="35" spans="2:12">
      <c r="B35" s="66"/>
      <c r="C35" s="537"/>
      <c r="D35" s="537"/>
      <c r="E35" s="63"/>
      <c r="F35" s="63"/>
      <c r="G35" s="64"/>
      <c r="H35" s="534" t="s">
        <v>106</v>
      </c>
      <c r="I35" s="534"/>
      <c r="J35" s="69">
        <v>0</v>
      </c>
      <c r="K35" s="69">
        <v>0</v>
      </c>
      <c r="L35" s="67"/>
    </row>
    <row r="36" spans="2:12">
      <c r="B36" s="76"/>
      <c r="C36" s="64"/>
      <c r="D36" s="64"/>
      <c r="E36" s="64"/>
      <c r="F36" s="64"/>
      <c r="G36" s="64"/>
      <c r="H36" s="534" t="s">
        <v>107</v>
      </c>
      <c r="I36" s="534"/>
      <c r="J36" s="69">
        <v>0</v>
      </c>
      <c r="K36" s="69">
        <v>0</v>
      </c>
      <c r="L36" s="67"/>
    </row>
    <row r="37" spans="2:12">
      <c r="B37" s="76"/>
      <c r="C37" s="64"/>
      <c r="D37" s="64"/>
      <c r="E37" s="64"/>
      <c r="F37" s="64"/>
      <c r="G37" s="64"/>
      <c r="H37" s="534" t="s">
        <v>108</v>
      </c>
      <c r="I37" s="534"/>
      <c r="J37" s="69">
        <v>0</v>
      </c>
      <c r="K37" s="69">
        <v>0</v>
      </c>
      <c r="L37" s="67"/>
    </row>
    <row r="38" spans="2:12">
      <c r="B38" s="76"/>
      <c r="C38" s="64"/>
      <c r="D38" s="64"/>
      <c r="E38" s="64"/>
      <c r="F38" s="64"/>
      <c r="G38" s="64"/>
      <c r="H38" s="534" t="s">
        <v>109</v>
      </c>
      <c r="I38" s="534"/>
      <c r="J38" s="69">
        <v>0</v>
      </c>
      <c r="K38" s="69">
        <v>0</v>
      </c>
      <c r="L38" s="67"/>
    </row>
    <row r="39" spans="2:12">
      <c r="B39" s="76"/>
      <c r="C39" s="64"/>
      <c r="D39" s="64"/>
      <c r="E39" s="64"/>
      <c r="F39" s="64"/>
      <c r="G39" s="64"/>
      <c r="H39" s="534" t="s">
        <v>110</v>
      </c>
      <c r="I39" s="534"/>
      <c r="J39" s="69">
        <v>0</v>
      </c>
      <c r="K39" s="69">
        <v>0</v>
      </c>
      <c r="L39" s="67"/>
    </row>
    <row r="40" spans="2:12">
      <c r="B40" s="76"/>
      <c r="C40" s="64"/>
      <c r="D40" s="64"/>
      <c r="E40" s="64"/>
      <c r="F40" s="64"/>
      <c r="G40" s="64"/>
      <c r="H40" s="420"/>
      <c r="I40" s="70"/>
      <c r="J40" s="71"/>
      <c r="K40" s="71"/>
      <c r="L40" s="67"/>
    </row>
    <row r="41" spans="2:12">
      <c r="B41" s="76"/>
      <c r="C41" s="64"/>
      <c r="D41" s="64"/>
      <c r="E41" s="64"/>
      <c r="F41" s="64"/>
      <c r="G41" s="64"/>
      <c r="H41" s="536" t="s">
        <v>111</v>
      </c>
      <c r="I41" s="536"/>
      <c r="J41" s="30">
        <f>SUM(J42:J47)</f>
        <v>1676180.27</v>
      </c>
      <c r="K41" s="30">
        <f>SUM(K42:K47)</f>
        <v>1379962.46</v>
      </c>
      <c r="L41" s="67"/>
    </row>
    <row r="42" spans="2:12">
      <c r="B42" s="76"/>
      <c r="C42" s="64"/>
      <c r="D42" s="64"/>
      <c r="E42" s="64"/>
      <c r="F42" s="64"/>
      <c r="G42" s="64"/>
      <c r="H42" s="534" t="s">
        <v>112</v>
      </c>
      <c r="I42" s="534"/>
      <c r="J42" s="69">
        <v>1676180.27</v>
      </c>
      <c r="K42" s="69">
        <v>1379962.46</v>
      </c>
      <c r="L42" s="67"/>
    </row>
    <row r="43" spans="2:12">
      <c r="B43" s="76"/>
      <c r="C43" s="64"/>
      <c r="D43" s="64"/>
      <c r="E43" s="64"/>
      <c r="F43" s="64"/>
      <c r="G43" s="64"/>
      <c r="H43" s="534" t="s">
        <v>113</v>
      </c>
      <c r="I43" s="534"/>
      <c r="J43" s="69">
        <v>0</v>
      </c>
      <c r="K43" s="69">
        <v>0</v>
      </c>
      <c r="L43" s="67"/>
    </row>
    <row r="44" spans="2:12">
      <c r="B44" s="76"/>
      <c r="C44" s="64"/>
      <c r="D44" s="64"/>
      <c r="E44" s="64"/>
      <c r="F44" s="64"/>
      <c r="G44" s="64"/>
      <c r="H44" s="534" t="s">
        <v>114</v>
      </c>
      <c r="I44" s="534"/>
      <c r="J44" s="69">
        <v>0</v>
      </c>
      <c r="K44" s="69">
        <v>0</v>
      </c>
      <c r="L44" s="67"/>
    </row>
    <row r="45" spans="2:12">
      <c r="B45" s="76"/>
      <c r="C45" s="64"/>
      <c r="D45" s="64"/>
      <c r="E45" s="64"/>
      <c r="F45" s="64"/>
      <c r="G45" s="64"/>
      <c r="H45" s="534" t="s">
        <v>115</v>
      </c>
      <c r="I45" s="534"/>
      <c r="J45" s="69">
        <v>0</v>
      </c>
      <c r="K45" s="69">
        <v>0</v>
      </c>
      <c r="L45" s="67"/>
    </row>
    <row r="46" spans="2:12">
      <c r="B46" s="76"/>
      <c r="C46" s="64"/>
      <c r="D46" s="64"/>
      <c r="E46" s="64"/>
      <c r="F46" s="64"/>
      <c r="G46" s="64"/>
      <c r="H46" s="534" t="s">
        <v>116</v>
      </c>
      <c r="I46" s="534"/>
      <c r="J46" s="69">
        <v>0</v>
      </c>
      <c r="K46" s="69">
        <v>0</v>
      </c>
      <c r="L46" s="67"/>
    </row>
    <row r="47" spans="2:12">
      <c r="B47" s="76"/>
      <c r="C47" s="64"/>
      <c r="D47" s="64"/>
      <c r="E47" s="64"/>
      <c r="F47" s="64"/>
      <c r="G47" s="64"/>
      <c r="H47" s="534" t="s">
        <v>117</v>
      </c>
      <c r="I47" s="534"/>
      <c r="J47" s="69">
        <v>0</v>
      </c>
      <c r="K47" s="69">
        <v>0</v>
      </c>
      <c r="L47" s="67"/>
    </row>
    <row r="48" spans="2:12">
      <c r="B48" s="76"/>
      <c r="C48" s="64"/>
      <c r="D48" s="64"/>
      <c r="E48" s="64"/>
      <c r="F48" s="64"/>
      <c r="G48" s="64"/>
      <c r="H48" s="420"/>
      <c r="I48" s="70"/>
      <c r="J48" s="71"/>
      <c r="K48" s="71"/>
      <c r="L48" s="67"/>
    </row>
    <row r="49" spans="2:12">
      <c r="B49" s="76"/>
      <c r="C49" s="64"/>
      <c r="D49" s="64"/>
      <c r="E49" s="64"/>
      <c r="F49" s="64"/>
      <c r="G49" s="64"/>
      <c r="H49" s="536" t="s">
        <v>118</v>
      </c>
      <c r="I49" s="536"/>
      <c r="J49" s="30">
        <f>J50</f>
        <v>0</v>
      </c>
      <c r="K49" s="30">
        <f>K50</f>
        <v>0</v>
      </c>
      <c r="L49" s="67"/>
    </row>
    <row r="50" spans="2:12">
      <c r="B50" s="76"/>
      <c r="C50" s="64"/>
      <c r="D50" s="64"/>
      <c r="E50" s="64"/>
      <c r="F50" s="64"/>
      <c r="G50" s="64"/>
      <c r="H50" s="534" t="s">
        <v>119</v>
      </c>
      <c r="I50" s="534"/>
      <c r="J50" s="69">
        <v>0</v>
      </c>
      <c r="K50" s="69">
        <v>0</v>
      </c>
      <c r="L50" s="67"/>
    </row>
    <row r="51" spans="2:12">
      <c r="B51" s="76"/>
      <c r="C51" s="64"/>
      <c r="D51" s="64"/>
      <c r="E51" s="64"/>
      <c r="F51" s="64"/>
      <c r="G51" s="64"/>
      <c r="H51" s="420"/>
      <c r="I51" s="70"/>
      <c r="J51" s="71"/>
      <c r="K51" s="71"/>
      <c r="L51" s="67"/>
    </row>
    <row r="52" spans="2:12">
      <c r="B52" s="76"/>
      <c r="C52" s="64"/>
      <c r="D52" s="64"/>
      <c r="E52" s="64"/>
      <c r="F52" s="64"/>
      <c r="G52" s="64"/>
      <c r="H52" s="537" t="s">
        <v>120</v>
      </c>
      <c r="I52" s="537"/>
      <c r="J52" s="77">
        <f>J13+J18+J29+J34+J41+J49</f>
        <v>31632257.170000002</v>
      </c>
      <c r="K52" s="77">
        <f>K13+K18+K29+K34+K41+K49</f>
        <v>29083644.950000003</v>
      </c>
      <c r="L52" s="78"/>
    </row>
    <row r="53" spans="2:12">
      <c r="B53" s="76"/>
      <c r="C53" s="64"/>
      <c r="D53" s="64"/>
      <c r="E53" s="64"/>
      <c r="F53" s="64"/>
      <c r="G53" s="64"/>
      <c r="H53" s="421"/>
      <c r="I53" s="421"/>
      <c r="J53" s="71"/>
      <c r="K53" s="71"/>
      <c r="L53" s="78"/>
    </row>
    <row r="54" spans="2:12">
      <c r="B54" s="76"/>
      <c r="C54" s="64"/>
      <c r="D54" s="64"/>
      <c r="E54" s="64"/>
      <c r="F54" s="64"/>
      <c r="G54" s="64"/>
      <c r="H54" s="538" t="s">
        <v>121</v>
      </c>
      <c r="I54" s="538"/>
      <c r="J54" s="77">
        <f>E34-J52</f>
        <v>1173480.879999999</v>
      </c>
      <c r="K54" s="77">
        <f>F34-K52</f>
        <v>1136419.6899999976</v>
      </c>
      <c r="L54" s="78"/>
    </row>
    <row r="55" spans="2:12">
      <c r="B55" s="79"/>
      <c r="C55" s="80"/>
      <c r="D55" s="80"/>
      <c r="E55" s="80"/>
      <c r="F55" s="80"/>
      <c r="G55" s="80"/>
      <c r="H55" s="81"/>
      <c r="I55" s="81"/>
      <c r="J55" s="80"/>
      <c r="K55" s="80"/>
      <c r="L55" s="82"/>
    </row>
    <row r="56" spans="2:12" ht="8.25" customHeight="1">
      <c r="B56" s="49"/>
      <c r="C56" s="49"/>
      <c r="D56" s="49"/>
      <c r="E56" s="49"/>
      <c r="F56" s="49"/>
      <c r="G56" s="49"/>
      <c r="H56" s="54"/>
      <c r="I56" s="54"/>
      <c r="J56" s="49"/>
      <c r="K56" s="49"/>
      <c r="L56" s="49"/>
    </row>
    <row r="57" spans="2:12" ht="7.5" customHeight="1">
      <c r="B57" s="80"/>
      <c r="C57" s="83"/>
      <c r="D57" s="84"/>
      <c r="E57" s="85"/>
      <c r="F57" s="85"/>
      <c r="G57" s="80"/>
      <c r="H57" s="86"/>
      <c r="I57" s="87"/>
      <c r="J57" s="85"/>
      <c r="K57" s="85"/>
      <c r="L57" s="80"/>
    </row>
    <row r="58" spans="2:12">
      <c r="B58" s="49"/>
      <c r="C58" s="70"/>
      <c r="D58" s="88"/>
      <c r="E58" s="89"/>
      <c r="F58" s="89"/>
      <c r="G58" s="49"/>
      <c r="H58" s="90"/>
      <c r="I58" s="91"/>
      <c r="J58" s="89"/>
      <c r="K58" s="89"/>
      <c r="L58" s="49"/>
    </row>
    <row r="59" spans="2:12">
      <c r="C59" s="539" t="s">
        <v>65</v>
      </c>
      <c r="D59" s="539"/>
      <c r="E59" s="539"/>
      <c r="F59" s="539"/>
      <c r="G59" s="539"/>
      <c r="H59" s="539"/>
      <c r="I59" s="539"/>
      <c r="J59" s="539"/>
      <c r="K59" s="539"/>
    </row>
    <row r="60" spans="2:12">
      <c r="C60" s="70"/>
      <c r="D60" s="88"/>
      <c r="E60" s="89"/>
      <c r="F60" s="89"/>
      <c r="H60" s="90"/>
      <c r="I60" s="88"/>
      <c r="J60" s="89"/>
      <c r="K60" s="89"/>
    </row>
    <row r="61" spans="2:12">
      <c r="C61" s="70"/>
      <c r="D61" s="540"/>
      <c r="E61" s="540"/>
      <c r="F61" s="89"/>
      <c r="H61" s="541"/>
      <c r="I61" s="541"/>
      <c r="J61" s="89"/>
      <c r="K61" s="89"/>
    </row>
    <row r="62" spans="2:12">
      <c r="C62" s="92"/>
      <c r="D62" s="531" t="s">
        <v>437</v>
      </c>
      <c r="E62" s="531"/>
      <c r="F62" s="89"/>
      <c r="G62" s="89"/>
      <c r="H62" s="531" t="s">
        <v>422</v>
      </c>
      <c r="I62" s="531"/>
      <c r="J62" s="93"/>
      <c r="K62" s="89"/>
    </row>
    <row r="63" spans="2:12" ht="15" customHeight="1">
      <c r="C63" s="94"/>
      <c r="D63" s="529" t="s">
        <v>438</v>
      </c>
      <c r="E63" s="529"/>
      <c r="F63" s="95"/>
      <c r="G63" s="95"/>
      <c r="H63" s="529" t="s">
        <v>423</v>
      </c>
      <c r="I63" s="529"/>
      <c r="J63" s="93"/>
      <c r="K63" s="89"/>
    </row>
    <row r="64" spans="2:12">
      <c r="E64" s="96"/>
    </row>
    <row r="65" spans="5:5" hidden="1">
      <c r="E65" s="96"/>
    </row>
    <row r="66" spans="5:5" hidden="1">
      <c r="E66" s="96"/>
    </row>
  </sheetData>
  <sheetProtection password="DF2C" sheet="1" objects="1" scenarios="1" formatCells="0" formatColumns="0" formatRows="0"/>
  <mergeCells count="71">
    <mergeCell ref="D63:E63"/>
    <mergeCell ref="H63:I63"/>
    <mergeCell ref="H54:I54"/>
    <mergeCell ref="C59:K59"/>
    <mergeCell ref="D61:E61"/>
    <mergeCell ref="H61:I61"/>
    <mergeCell ref="D62:E62"/>
    <mergeCell ref="H62:I62"/>
    <mergeCell ref="H52:I52"/>
    <mergeCell ref="H38:I38"/>
    <mergeCell ref="H39:I39"/>
    <mergeCell ref="H41:I41"/>
    <mergeCell ref="H42:I42"/>
    <mergeCell ref="H43:I43"/>
    <mergeCell ref="H44:I44"/>
    <mergeCell ref="H45:I45"/>
    <mergeCell ref="H46:I46"/>
    <mergeCell ref="H47:I47"/>
    <mergeCell ref="H49:I49"/>
    <mergeCell ref="H50:I50"/>
    <mergeCell ref="H37:I37"/>
    <mergeCell ref="C30:D30"/>
    <mergeCell ref="H30:I30"/>
    <mergeCell ref="C31:D31"/>
    <mergeCell ref="H31:I31"/>
    <mergeCell ref="C32:D32"/>
    <mergeCell ref="H32:I32"/>
    <mergeCell ref="C34:D34"/>
    <mergeCell ref="H34:I34"/>
    <mergeCell ref="C35:D35"/>
    <mergeCell ref="H35:I35"/>
    <mergeCell ref="H36:I36"/>
    <mergeCell ref="H26:I26"/>
    <mergeCell ref="C27:D27"/>
    <mergeCell ref="H27:I27"/>
    <mergeCell ref="C28:D28"/>
    <mergeCell ref="C29:D29"/>
    <mergeCell ref="H29:I29"/>
    <mergeCell ref="C25:D25"/>
    <mergeCell ref="H25:I25"/>
    <mergeCell ref="C19:D19"/>
    <mergeCell ref="H19:I19"/>
    <mergeCell ref="C20:D20"/>
    <mergeCell ref="H20:I20"/>
    <mergeCell ref="C21:D21"/>
    <mergeCell ref="H21:I21"/>
    <mergeCell ref="H22:I22"/>
    <mergeCell ref="C23:D23"/>
    <mergeCell ref="H23:I23"/>
    <mergeCell ref="C24:D24"/>
    <mergeCell ref="H24:I24"/>
    <mergeCell ref="C18:D18"/>
    <mergeCell ref="H18:I18"/>
    <mergeCell ref="C12:D12"/>
    <mergeCell ref="H12:I12"/>
    <mergeCell ref="C13:D13"/>
    <mergeCell ref="H13:I13"/>
    <mergeCell ref="C14:D14"/>
    <mergeCell ref="H14:I14"/>
    <mergeCell ref="C15:D15"/>
    <mergeCell ref="H15:I15"/>
    <mergeCell ref="C16:D16"/>
    <mergeCell ref="H16:I16"/>
    <mergeCell ref="C17:D17"/>
    <mergeCell ref="C10:D10"/>
    <mergeCell ref="H10:I10"/>
    <mergeCell ref="D2:J2"/>
    <mergeCell ref="D3:J3"/>
    <mergeCell ref="D4:J4"/>
    <mergeCell ref="D5:J5"/>
    <mergeCell ref="D7:K7"/>
  </mergeCells>
  <pageMargins left="0.70866141732283472" right="0.70866141732283472" top="0.74803149606299213" bottom="0.74803149606299213" header="0.31496062992125984" footer="0.31496062992125984"/>
  <pageSetup scale="54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WVS47"/>
  <sheetViews>
    <sheetView showGridLines="0" topLeftCell="A22" zoomScale="80" zoomScaleNormal="80" workbookViewId="0">
      <selection activeCell="H45" sqref="H45:I46"/>
    </sheetView>
  </sheetViews>
  <sheetFormatPr baseColWidth="10" defaultColWidth="0" defaultRowHeight="0" customHeight="1" zeroHeight="1"/>
  <cols>
    <col min="1" max="1" width="3.42578125" customWidth="1"/>
    <col min="2" max="2" width="3.7109375" customWidth="1"/>
    <col min="3" max="3" width="11.42578125" customWidth="1"/>
    <col min="4" max="4" width="46.140625" customWidth="1"/>
    <col min="5" max="9" width="21" customWidth="1"/>
    <col min="10" max="10" width="4.5703125" customWidth="1"/>
    <col min="11" max="11" width="3" customWidth="1"/>
    <col min="12" max="256" width="11.42578125" hidden="1"/>
    <col min="257" max="257" width="3.42578125" customWidth="1"/>
    <col min="258" max="258" width="3.7109375" customWidth="1"/>
    <col min="259" max="259" width="11.42578125" customWidth="1"/>
    <col min="260" max="260" width="46.140625" customWidth="1"/>
    <col min="261" max="265" width="21" customWidth="1"/>
    <col min="266" max="266" width="4.5703125" customWidth="1"/>
    <col min="267" max="267" width="3" customWidth="1"/>
    <col min="268" max="512" width="11.42578125" hidden="1"/>
    <col min="513" max="513" width="3.42578125" customWidth="1"/>
    <col min="514" max="514" width="3.7109375" customWidth="1"/>
    <col min="515" max="515" width="11.42578125" customWidth="1"/>
    <col min="516" max="516" width="46.140625" customWidth="1"/>
    <col min="517" max="521" width="21" customWidth="1"/>
    <col min="522" max="522" width="4.5703125" customWidth="1"/>
    <col min="523" max="523" width="3" customWidth="1"/>
    <col min="524" max="768" width="11.42578125" hidden="1"/>
    <col min="769" max="769" width="3.42578125" customWidth="1"/>
    <col min="770" max="770" width="3.7109375" customWidth="1"/>
    <col min="771" max="771" width="11.42578125" customWidth="1"/>
    <col min="772" max="772" width="46.140625" customWidth="1"/>
    <col min="773" max="777" width="21" customWidth="1"/>
    <col min="778" max="778" width="4.5703125" customWidth="1"/>
    <col min="779" max="779" width="3" customWidth="1"/>
    <col min="780" max="1024" width="11.42578125" hidden="1"/>
    <col min="1025" max="1025" width="3.42578125" customWidth="1"/>
    <col min="1026" max="1026" width="3.7109375" customWidth="1"/>
    <col min="1027" max="1027" width="11.42578125" customWidth="1"/>
    <col min="1028" max="1028" width="46.140625" customWidth="1"/>
    <col min="1029" max="1033" width="21" customWidth="1"/>
    <col min="1034" max="1034" width="4.5703125" customWidth="1"/>
    <col min="1035" max="1035" width="3" customWidth="1"/>
    <col min="1036" max="1280" width="11.42578125" hidden="1"/>
    <col min="1281" max="1281" width="3.42578125" customWidth="1"/>
    <col min="1282" max="1282" width="3.7109375" customWidth="1"/>
    <col min="1283" max="1283" width="11.42578125" customWidth="1"/>
    <col min="1284" max="1284" width="46.140625" customWidth="1"/>
    <col min="1285" max="1289" width="21" customWidth="1"/>
    <col min="1290" max="1290" width="4.5703125" customWidth="1"/>
    <col min="1291" max="1291" width="3" customWidth="1"/>
    <col min="1292" max="1536" width="11.42578125" hidden="1"/>
    <col min="1537" max="1537" width="3.42578125" customWidth="1"/>
    <col min="1538" max="1538" width="3.7109375" customWidth="1"/>
    <col min="1539" max="1539" width="11.42578125" customWidth="1"/>
    <col min="1540" max="1540" width="46.140625" customWidth="1"/>
    <col min="1541" max="1545" width="21" customWidth="1"/>
    <col min="1546" max="1546" width="4.5703125" customWidth="1"/>
    <col min="1547" max="1547" width="3" customWidth="1"/>
    <col min="1548" max="1792" width="11.42578125" hidden="1"/>
    <col min="1793" max="1793" width="3.42578125" customWidth="1"/>
    <col min="1794" max="1794" width="3.7109375" customWidth="1"/>
    <col min="1795" max="1795" width="11.42578125" customWidth="1"/>
    <col min="1796" max="1796" width="46.140625" customWidth="1"/>
    <col min="1797" max="1801" width="21" customWidth="1"/>
    <col min="1802" max="1802" width="4.5703125" customWidth="1"/>
    <col min="1803" max="1803" width="3" customWidth="1"/>
    <col min="1804" max="2048" width="11.42578125" hidden="1"/>
    <col min="2049" max="2049" width="3.42578125" customWidth="1"/>
    <col min="2050" max="2050" width="3.7109375" customWidth="1"/>
    <col min="2051" max="2051" width="11.42578125" customWidth="1"/>
    <col min="2052" max="2052" width="46.140625" customWidth="1"/>
    <col min="2053" max="2057" width="21" customWidth="1"/>
    <col min="2058" max="2058" width="4.5703125" customWidth="1"/>
    <col min="2059" max="2059" width="3" customWidth="1"/>
    <col min="2060" max="2304" width="11.42578125" hidden="1"/>
    <col min="2305" max="2305" width="3.42578125" customWidth="1"/>
    <col min="2306" max="2306" width="3.7109375" customWidth="1"/>
    <col min="2307" max="2307" width="11.42578125" customWidth="1"/>
    <col min="2308" max="2308" width="46.140625" customWidth="1"/>
    <col min="2309" max="2313" width="21" customWidth="1"/>
    <col min="2314" max="2314" width="4.5703125" customWidth="1"/>
    <col min="2315" max="2315" width="3" customWidth="1"/>
    <col min="2316" max="2560" width="11.42578125" hidden="1"/>
    <col min="2561" max="2561" width="3.42578125" customWidth="1"/>
    <col min="2562" max="2562" width="3.7109375" customWidth="1"/>
    <col min="2563" max="2563" width="11.42578125" customWidth="1"/>
    <col min="2564" max="2564" width="46.140625" customWidth="1"/>
    <col min="2565" max="2569" width="21" customWidth="1"/>
    <col min="2570" max="2570" width="4.5703125" customWidth="1"/>
    <col min="2571" max="2571" width="3" customWidth="1"/>
    <col min="2572" max="2816" width="11.42578125" hidden="1"/>
    <col min="2817" max="2817" width="3.42578125" customWidth="1"/>
    <col min="2818" max="2818" width="3.7109375" customWidth="1"/>
    <col min="2819" max="2819" width="11.42578125" customWidth="1"/>
    <col min="2820" max="2820" width="46.140625" customWidth="1"/>
    <col min="2821" max="2825" width="21" customWidth="1"/>
    <col min="2826" max="2826" width="4.5703125" customWidth="1"/>
    <col min="2827" max="2827" width="3" customWidth="1"/>
    <col min="2828" max="3072" width="11.42578125" hidden="1"/>
    <col min="3073" max="3073" width="3.42578125" customWidth="1"/>
    <col min="3074" max="3074" width="3.7109375" customWidth="1"/>
    <col min="3075" max="3075" width="11.42578125" customWidth="1"/>
    <col min="3076" max="3076" width="46.140625" customWidth="1"/>
    <col min="3077" max="3081" width="21" customWidth="1"/>
    <col min="3082" max="3082" width="4.5703125" customWidth="1"/>
    <col min="3083" max="3083" width="3" customWidth="1"/>
    <col min="3084" max="3328" width="11.42578125" hidden="1"/>
    <col min="3329" max="3329" width="3.42578125" customWidth="1"/>
    <col min="3330" max="3330" width="3.7109375" customWidth="1"/>
    <col min="3331" max="3331" width="11.42578125" customWidth="1"/>
    <col min="3332" max="3332" width="46.140625" customWidth="1"/>
    <col min="3333" max="3337" width="21" customWidth="1"/>
    <col min="3338" max="3338" width="4.5703125" customWidth="1"/>
    <col min="3339" max="3339" width="3" customWidth="1"/>
    <col min="3340" max="3584" width="11.42578125" hidden="1"/>
    <col min="3585" max="3585" width="3.42578125" customWidth="1"/>
    <col min="3586" max="3586" width="3.7109375" customWidth="1"/>
    <col min="3587" max="3587" width="11.42578125" customWidth="1"/>
    <col min="3588" max="3588" width="46.140625" customWidth="1"/>
    <col min="3589" max="3593" width="21" customWidth="1"/>
    <col min="3594" max="3594" width="4.5703125" customWidth="1"/>
    <col min="3595" max="3595" width="3" customWidth="1"/>
    <col min="3596" max="3840" width="11.42578125" hidden="1"/>
    <col min="3841" max="3841" width="3.42578125" customWidth="1"/>
    <col min="3842" max="3842" width="3.7109375" customWidth="1"/>
    <col min="3843" max="3843" width="11.42578125" customWidth="1"/>
    <col min="3844" max="3844" width="46.140625" customWidth="1"/>
    <col min="3845" max="3849" width="21" customWidth="1"/>
    <col min="3850" max="3850" width="4.5703125" customWidth="1"/>
    <col min="3851" max="3851" width="3" customWidth="1"/>
    <col min="3852" max="4096" width="11.42578125" hidden="1"/>
    <col min="4097" max="4097" width="3.42578125" customWidth="1"/>
    <col min="4098" max="4098" width="3.7109375" customWidth="1"/>
    <col min="4099" max="4099" width="11.42578125" customWidth="1"/>
    <col min="4100" max="4100" width="46.140625" customWidth="1"/>
    <col min="4101" max="4105" width="21" customWidth="1"/>
    <col min="4106" max="4106" width="4.5703125" customWidth="1"/>
    <col min="4107" max="4107" width="3" customWidth="1"/>
    <col min="4108" max="4352" width="11.42578125" hidden="1"/>
    <col min="4353" max="4353" width="3.42578125" customWidth="1"/>
    <col min="4354" max="4354" width="3.7109375" customWidth="1"/>
    <col min="4355" max="4355" width="11.42578125" customWidth="1"/>
    <col min="4356" max="4356" width="46.140625" customWidth="1"/>
    <col min="4357" max="4361" width="21" customWidth="1"/>
    <col min="4362" max="4362" width="4.5703125" customWidth="1"/>
    <col min="4363" max="4363" width="3" customWidth="1"/>
    <col min="4364" max="4608" width="11.42578125" hidden="1"/>
    <col min="4609" max="4609" width="3.42578125" customWidth="1"/>
    <col min="4610" max="4610" width="3.7109375" customWidth="1"/>
    <col min="4611" max="4611" width="11.42578125" customWidth="1"/>
    <col min="4612" max="4612" width="46.140625" customWidth="1"/>
    <col min="4613" max="4617" width="21" customWidth="1"/>
    <col min="4618" max="4618" width="4.5703125" customWidth="1"/>
    <col min="4619" max="4619" width="3" customWidth="1"/>
    <col min="4620" max="4864" width="11.42578125" hidden="1"/>
    <col min="4865" max="4865" width="3.42578125" customWidth="1"/>
    <col min="4866" max="4866" width="3.7109375" customWidth="1"/>
    <col min="4867" max="4867" width="11.42578125" customWidth="1"/>
    <col min="4868" max="4868" width="46.140625" customWidth="1"/>
    <col min="4869" max="4873" width="21" customWidth="1"/>
    <col min="4874" max="4874" width="4.5703125" customWidth="1"/>
    <col min="4875" max="4875" width="3" customWidth="1"/>
    <col min="4876" max="5120" width="11.42578125" hidden="1"/>
    <col min="5121" max="5121" width="3.42578125" customWidth="1"/>
    <col min="5122" max="5122" width="3.7109375" customWidth="1"/>
    <col min="5123" max="5123" width="11.42578125" customWidth="1"/>
    <col min="5124" max="5124" width="46.140625" customWidth="1"/>
    <col min="5125" max="5129" width="21" customWidth="1"/>
    <col min="5130" max="5130" width="4.5703125" customWidth="1"/>
    <col min="5131" max="5131" width="3" customWidth="1"/>
    <col min="5132" max="5376" width="11.42578125" hidden="1"/>
    <col min="5377" max="5377" width="3.42578125" customWidth="1"/>
    <col min="5378" max="5378" width="3.7109375" customWidth="1"/>
    <col min="5379" max="5379" width="11.42578125" customWidth="1"/>
    <col min="5380" max="5380" width="46.140625" customWidth="1"/>
    <col min="5381" max="5385" width="21" customWidth="1"/>
    <col min="5386" max="5386" width="4.5703125" customWidth="1"/>
    <col min="5387" max="5387" width="3" customWidth="1"/>
    <col min="5388" max="5632" width="11.42578125" hidden="1"/>
    <col min="5633" max="5633" width="3.42578125" customWidth="1"/>
    <col min="5634" max="5634" width="3.7109375" customWidth="1"/>
    <col min="5635" max="5635" width="11.42578125" customWidth="1"/>
    <col min="5636" max="5636" width="46.140625" customWidth="1"/>
    <col min="5637" max="5641" width="21" customWidth="1"/>
    <col min="5642" max="5642" width="4.5703125" customWidth="1"/>
    <col min="5643" max="5643" width="3" customWidth="1"/>
    <col min="5644" max="5888" width="11.42578125" hidden="1"/>
    <col min="5889" max="5889" width="3.42578125" customWidth="1"/>
    <col min="5890" max="5890" width="3.7109375" customWidth="1"/>
    <col min="5891" max="5891" width="11.42578125" customWidth="1"/>
    <col min="5892" max="5892" width="46.140625" customWidth="1"/>
    <col min="5893" max="5897" width="21" customWidth="1"/>
    <col min="5898" max="5898" width="4.5703125" customWidth="1"/>
    <col min="5899" max="5899" width="3" customWidth="1"/>
    <col min="5900" max="6144" width="11.42578125" hidden="1"/>
    <col min="6145" max="6145" width="3.42578125" customWidth="1"/>
    <col min="6146" max="6146" width="3.7109375" customWidth="1"/>
    <col min="6147" max="6147" width="11.42578125" customWidth="1"/>
    <col min="6148" max="6148" width="46.140625" customWidth="1"/>
    <col min="6149" max="6153" width="21" customWidth="1"/>
    <col min="6154" max="6154" width="4.5703125" customWidth="1"/>
    <col min="6155" max="6155" width="3" customWidth="1"/>
    <col min="6156" max="6400" width="11.42578125" hidden="1"/>
    <col min="6401" max="6401" width="3.42578125" customWidth="1"/>
    <col min="6402" max="6402" width="3.7109375" customWidth="1"/>
    <col min="6403" max="6403" width="11.42578125" customWidth="1"/>
    <col min="6404" max="6404" width="46.140625" customWidth="1"/>
    <col min="6405" max="6409" width="21" customWidth="1"/>
    <col min="6410" max="6410" width="4.5703125" customWidth="1"/>
    <col min="6411" max="6411" width="3" customWidth="1"/>
    <col min="6412" max="6656" width="11.42578125" hidden="1"/>
    <col min="6657" max="6657" width="3.42578125" customWidth="1"/>
    <col min="6658" max="6658" width="3.7109375" customWidth="1"/>
    <col min="6659" max="6659" width="11.42578125" customWidth="1"/>
    <col min="6660" max="6660" width="46.140625" customWidth="1"/>
    <col min="6661" max="6665" width="21" customWidth="1"/>
    <col min="6666" max="6666" width="4.5703125" customWidth="1"/>
    <col min="6667" max="6667" width="3" customWidth="1"/>
    <col min="6668" max="6912" width="11.42578125" hidden="1"/>
    <col min="6913" max="6913" width="3.42578125" customWidth="1"/>
    <col min="6914" max="6914" width="3.7109375" customWidth="1"/>
    <col min="6915" max="6915" width="11.42578125" customWidth="1"/>
    <col min="6916" max="6916" width="46.140625" customWidth="1"/>
    <col min="6917" max="6921" width="21" customWidth="1"/>
    <col min="6922" max="6922" width="4.5703125" customWidth="1"/>
    <col min="6923" max="6923" width="3" customWidth="1"/>
    <col min="6924" max="7168" width="11.42578125" hidden="1"/>
    <col min="7169" max="7169" width="3.42578125" customWidth="1"/>
    <col min="7170" max="7170" width="3.7109375" customWidth="1"/>
    <col min="7171" max="7171" width="11.42578125" customWidth="1"/>
    <col min="7172" max="7172" width="46.140625" customWidth="1"/>
    <col min="7173" max="7177" width="21" customWidth="1"/>
    <col min="7178" max="7178" width="4.5703125" customWidth="1"/>
    <col min="7179" max="7179" width="3" customWidth="1"/>
    <col min="7180" max="7424" width="11.42578125" hidden="1"/>
    <col min="7425" max="7425" width="3.42578125" customWidth="1"/>
    <col min="7426" max="7426" width="3.7109375" customWidth="1"/>
    <col min="7427" max="7427" width="11.42578125" customWidth="1"/>
    <col min="7428" max="7428" width="46.140625" customWidth="1"/>
    <col min="7429" max="7433" width="21" customWidth="1"/>
    <col min="7434" max="7434" width="4.5703125" customWidth="1"/>
    <col min="7435" max="7435" width="3" customWidth="1"/>
    <col min="7436" max="7680" width="11.42578125" hidden="1"/>
    <col min="7681" max="7681" width="3.42578125" customWidth="1"/>
    <col min="7682" max="7682" width="3.7109375" customWidth="1"/>
    <col min="7683" max="7683" width="11.42578125" customWidth="1"/>
    <col min="7684" max="7684" width="46.140625" customWidth="1"/>
    <col min="7685" max="7689" width="21" customWidth="1"/>
    <col min="7690" max="7690" width="4.5703125" customWidth="1"/>
    <col min="7691" max="7691" width="3" customWidth="1"/>
    <col min="7692" max="7936" width="11.42578125" hidden="1"/>
    <col min="7937" max="7937" width="3.42578125" customWidth="1"/>
    <col min="7938" max="7938" width="3.7109375" customWidth="1"/>
    <col min="7939" max="7939" width="11.42578125" customWidth="1"/>
    <col min="7940" max="7940" width="46.140625" customWidth="1"/>
    <col min="7941" max="7945" width="21" customWidth="1"/>
    <col min="7946" max="7946" width="4.5703125" customWidth="1"/>
    <col min="7947" max="7947" width="3" customWidth="1"/>
    <col min="7948" max="8192" width="11.42578125" hidden="1"/>
    <col min="8193" max="8193" width="3.42578125" customWidth="1"/>
    <col min="8194" max="8194" width="3.7109375" customWidth="1"/>
    <col min="8195" max="8195" width="11.42578125" customWidth="1"/>
    <col min="8196" max="8196" width="46.140625" customWidth="1"/>
    <col min="8197" max="8201" width="21" customWidth="1"/>
    <col min="8202" max="8202" width="4.5703125" customWidth="1"/>
    <col min="8203" max="8203" width="3" customWidth="1"/>
    <col min="8204" max="8448" width="11.42578125" hidden="1"/>
    <col min="8449" max="8449" width="3.42578125" customWidth="1"/>
    <col min="8450" max="8450" width="3.7109375" customWidth="1"/>
    <col min="8451" max="8451" width="11.42578125" customWidth="1"/>
    <col min="8452" max="8452" width="46.140625" customWidth="1"/>
    <col min="8453" max="8457" width="21" customWidth="1"/>
    <col min="8458" max="8458" width="4.5703125" customWidth="1"/>
    <col min="8459" max="8459" width="3" customWidth="1"/>
    <col min="8460" max="8704" width="11.42578125" hidden="1"/>
    <col min="8705" max="8705" width="3.42578125" customWidth="1"/>
    <col min="8706" max="8706" width="3.7109375" customWidth="1"/>
    <col min="8707" max="8707" width="11.42578125" customWidth="1"/>
    <col min="8708" max="8708" width="46.140625" customWidth="1"/>
    <col min="8709" max="8713" width="21" customWidth="1"/>
    <col min="8714" max="8714" width="4.5703125" customWidth="1"/>
    <col min="8715" max="8715" width="3" customWidth="1"/>
    <col min="8716" max="8960" width="11.42578125" hidden="1"/>
    <col min="8961" max="8961" width="3.42578125" customWidth="1"/>
    <col min="8962" max="8962" width="3.7109375" customWidth="1"/>
    <col min="8963" max="8963" width="11.42578125" customWidth="1"/>
    <col min="8964" max="8964" width="46.140625" customWidth="1"/>
    <col min="8965" max="8969" width="21" customWidth="1"/>
    <col min="8970" max="8970" width="4.5703125" customWidth="1"/>
    <col min="8971" max="8971" width="3" customWidth="1"/>
    <col min="8972" max="9216" width="11.42578125" hidden="1"/>
    <col min="9217" max="9217" width="3.42578125" customWidth="1"/>
    <col min="9218" max="9218" width="3.7109375" customWidth="1"/>
    <col min="9219" max="9219" width="11.42578125" customWidth="1"/>
    <col min="9220" max="9220" width="46.140625" customWidth="1"/>
    <col min="9221" max="9225" width="21" customWidth="1"/>
    <col min="9226" max="9226" width="4.5703125" customWidth="1"/>
    <col min="9227" max="9227" width="3" customWidth="1"/>
    <col min="9228" max="9472" width="11.42578125" hidden="1"/>
    <col min="9473" max="9473" width="3.42578125" customWidth="1"/>
    <col min="9474" max="9474" width="3.7109375" customWidth="1"/>
    <col min="9475" max="9475" width="11.42578125" customWidth="1"/>
    <col min="9476" max="9476" width="46.140625" customWidth="1"/>
    <col min="9477" max="9481" width="21" customWidth="1"/>
    <col min="9482" max="9482" width="4.5703125" customWidth="1"/>
    <col min="9483" max="9483" width="3" customWidth="1"/>
    <col min="9484" max="9728" width="11.42578125" hidden="1"/>
    <col min="9729" max="9729" width="3.42578125" customWidth="1"/>
    <col min="9730" max="9730" width="3.7109375" customWidth="1"/>
    <col min="9731" max="9731" width="11.42578125" customWidth="1"/>
    <col min="9732" max="9732" width="46.140625" customWidth="1"/>
    <col min="9733" max="9737" width="21" customWidth="1"/>
    <col min="9738" max="9738" width="4.5703125" customWidth="1"/>
    <col min="9739" max="9739" width="3" customWidth="1"/>
    <col min="9740" max="9984" width="11.42578125" hidden="1"/>
    <col min="9985" max="9985" width="3.42578125" customWidth="1"/>
    <col min="9986" max="9986" width="3.7109375" customWidth="1"/>
    <col min="9987" max="9987" width="11.42578125" customWidth="1"/>
    <col min="9988" max="9988" width="46.140625" customWidth="1"/>
    <col min="9989" max="9993" width="21" customWidth="1"/>
    <col min="9994" max="9994" width="4.5703125" customWidth="1"/>
    <col min="9995" max="9995" width="3" customWidth="1"/>
    <col min="9996" max="10240" width="11.42578125" hidden="1"/>
    <col min="10241" max="10241" width="3.42578125" customWidth="1"/>
    <col min="10242" max="10242" width="3.7109375" customWidth="1"/>
    <col min="10243" max="10243" width="11.42578125" customWidth="1"/>
    <col min="10244" max="10244" width="46.140625" customWidth="1"/>
    <col min="10245" max="10249" width="21" customWidth="1"/>
    <col min="10250" max="10250" width="4.5703125" customWidth="1"/>
    <col min="10251" max="10251" width="3" customWidth="1"/>
    <col min="10252" max="10496" width="11.42578125" hidden="1"/>
    <col min="10497" max="10497" width="3.42578125" customWidth="1"/>
    <col min="10498" max="10498" width="3.7109375" customWidth="1"/>
    <col min="10499" max="10499" width="11.42578125" customWidth="1"/>
    <col min="10500" max="10500" width="46.140625" customWidth="1"/>
    <col min="10501" max="10505" width="21" customWidth="1"/>
    <col min="10506" max="10506" width="4.5703125" customWidth="1"/>
    <col min="10507" max="10507" width="3" customWidth="1"/>
    <col min="10508" max="10752" width="11.42578125" hidden="1"/>
    <col min="10753" max="10753" width="3.42578125" customWidth="1"/>
    <col min="10754" max="10754" width="3.7109375" customWidth="1"/>
    <col min="10755" max="10755" width="11.42578125" customWidth="1"/>
    <col min="10756" max="10756" width="46.140625" customWidth="1"/>
    <col min="10757" max="10761" width="21" customWidth="1"/>
    <col min="10762" max="10762" width="4.5703125" customWidth="1"/>
    <col min="10763" max="10763" width="3" customWidth="1"/>
    <col min="10764" max="11008" width="11.42578125" hidden="1"/>
    <col min="11009" max="11009" width="3.42578125" customWidth="1"/>
    <col min="11010" max="11010" width="3.7109375" customWidth="1"/>
    <col min="11011" max="11011" width="11.42578125" customWidth="1"/>
    <col min="11012" max="11012" width="46.140625" customWidth="1"/>
    <col min="11013" max="11017" width="21" customWidth="1"/>
    <col min="11018" max="11018" width="4.5703125" customWidth="1"/>
    <col min="11019" max="11019" width="3" customWidth="1"/>
    <col min="11020" max="11264" width="11.42578125" hidden="1"/>
    <col min="11265" max="11265" width="3.42578125" customWidth="1"/>
    <col min="11266" max="11266" width="3.7109375" customWidth="1"/>
    <col min="11267" max="11267" width="11.42578125" customWidth="1"/>
    <col min="11268" max="11268" width="46.140625" customWidth="1"/>
    <col min="11269" max="11273" width="21" customWidth="1"/>
    <col min="11274" max="11274" width="4.5703125" customWidth="1"/>
    <col min="11275" max="11275" width="3" customWidth="1"/>
    <col min="11276" max="11520" width="11.42578125" hidden="1"/>
    <col min="11521" max="11521" width="3.42578125" customWidth="1"/>
    <col min="11522" max="11522" width="3.7109375" customWidth="1"/>
    <col min="11523" max="11523" width="11.42578125" customWidth="1"/>
    <col min="11524" max="11524" width="46.140625" customWidth="1"/>
    <col min="11525" max="11529" width="21" customWidth="1"/>
    <col min="11530" max="11530" width="4.5703125" customWidth="1"/>
    <col min="11531" max="11531" width="3" customWidth="1"/>
    <col min="11532" max="11776" width="11.42578125" hidden="1"/>
    <col min="11777" max="11777" width="3.42578125" customWidth="1"/>
    <col min="11778" max="11778" width="3.7109375" customWidth="1"/>
    <col min="11779" max="11779" width="11.42578125" customWidth="1"/>
    <col min="11780" max="11780" width="46.140625" customWidth="1"/>
    <col min="11781" max="11785" width="21" customWidth="1"/>
    <col min="11786" max="11786" width="4.5703125" customWidth="1"/>
    <col min="11787" max="11787" width="3" customWidth="1"/>
    <col min="11788" max="12032" width="11.42578125" hidden="1"/>
    <col min="12033" max="12033" width="3.42578125" customWidth="1"/>
    <col min="12034" max="12034" width="3.7109375" customWidth="1"/>
    <col min="12035" max="12035" width="11.42578125" customWidth="1"/>
    <col min="12036" max="12036" width="46.140625" customWidth="1"/>
    <col min="12037" max="12041" width="21" customWidth="1"/>
    <col min="12042" max="12042" width="4.5703125" customWidth="1"/>
    <col min="12043" max="12043" width="3" customWidth="1"/>
    <col min="12044" max="12288" width="11.42578125" hidden="1"/>
    <col min="12289" max="12289" width="3.42578125" customWidth="1"/>
    <col min="12290" max="12290" width="3.7109375" customWidth="1"/>
    <col min="12291" max="12291" width="11.42578125" customWidth="1"/>
    <col min="12292" max="12292" width="46.140625" customWidth="1"/>
    <col min="12293" max="12297" width="21" customWidth="1"/>
    <col min="12298" max="12298" width="4.5703125" customWidth="1"/>
    <col min="12299" max="12299" width="3" customWidth="1"/>
    <col min="12300" max="12544" width="11.42578125" hidden="1"/>
    <col min="12545" max="12545" width="3.42578125" customWidth="1"/>
    <col min="12546" max="12546" width="3.7109375" customWidth="1"/>
    <col min="12547" max="12547" width="11.42578125" customWidth="1"/>
    <col min="12548" max="12548" width="46.140625" customWidth="1"/>
    <col min="12549" max="12553" width="21" customWidth="1"/>
    <col min="12554" max="12554" width="4.5703125" customWidth="1"/>
    <col min="12555" max="12555" width="3" customWidth="1"/>
    <col min="12556" max="12800" width="11.42578125" hidden="1"/>
    <col min="12801" max="12801" width="3.42578125" customWidth="1"/>
    <col min="12802" max="12802" width="3.7109375" customWidth="1"/>
    <col min="12803" max="12803" width="11.42578125" customWidth="1"/>
    <col min="12804" max="12804" width="46.140625" customWidth="1"/>
    <col min="12805" max="12809" width="21" customWidth="1"/>
    <col min="12810" max="12810" width="4.5703125" customWidth="1"/>
    <col min="12811" max="12811" width="3" customWidth="1"/>
    <col min="12812" max="13056" width="11.42578125" hidden="1"/>
    <col min="13057" max="13057" width="3.42578125" customWidth="1"/>
    <col min="13058" max="13058" width="3.7109375" customWidth="1"/>
    <col min="13059" max="13059" width="11.42578125" customWidth="1"/>
    <col min="13060" max="13060" width="46.140625" customWidth="1"/>
    <col min="13061" max="13065" width="21" customWidth="1"/>
    <col min="13066" max="13066" width="4.5703125" customWidth="1"/>
    <col min="13067" max="13067" width="3" customWidth="1"/>
    <col min="13068" max="13312" width="11.42578125" hidden="1"/>
    <col min="13313" max="13313" width="3.42578125" customWidth="1"/>
    <col min="13314" max="13314" width="3.7109375" customWidth="1"/>
    <col min="13315" max="13315" width="11.42578125" customWidth="1"/>
    <col min="13316" max="13316" width="46.140625" customWidth="1"/>
    <col min="13317" max="13321" width="21" customWidth="1"/>
    <col min="13322" max="13322" width="4.5703125" customWidth="1"/>
    <col min="13323" max="13323" width="3" customWidth="1"/>
    <col min="13324" max="13568" width="11.42578125" hidden="1"/>
    <col min="13569" max="13569" width="3.42578125" customWidth="1"/>
    <col min="13570" max="13570" width="3.7109375" customWidth="1"/>
    <col min="13571" max="13571" width="11.42578125" customWidth="1"/>
    <col min="13572" max="13572" width="46.140625" customWidth="1"/>
    <col min="13573" max="13577" width="21" customWidth="1"/>
    <col min="13578" max="13578" width="4.5703125" customWidth="1"/>
    <col min="13579" max="13579" width="3" customWidth="1"/>
    <col min="13580" max="13824" width="11.42578125" hidden="1"/>
    <col min="13825" max="13825" width="3.42578125" customWidth="1"/>
    <col min="13826" max="13826" width="3.7109375" customWidth="1"/>
    <col min="13827" max="13827" width="11.42578125" customWidth="1"/>
    <col min="13828" max="13828" width="46.140625" customWidth="1"/>
    <col min="13829" max="13833" width="21" customWidth="1"/>
    <col min="13834" max="13834" width="4.5703125" customWidth="1"/>
    <col min="13835" max="13835" width="3" customWidth="1"/>
    <col min="13836" max="14080" width="11.42578125" hidden="1"/>
    <col min="14081" max="14081" width="3.42578125" customWidth="1"/>
    <col min="14082" max="14082" width="3.7109375" customWidth="1"/>
    <col min="14083" max="14083" width="11.42578125" customWidth="1"/>
    <col min="14084" max="14084" width="46.140625" customWidth="1"/>
    <col min="14085" max="14089" width="21" customWidth="1"/>
    <col min="14090" max="14090" width="4.5703125" customWidth="1"/>
    <col min="14091" max="14091" width="3" customWidth="1"/>
    <col min="14092" max="14336" width="11.42578125" hidden="1"/>
    <col min="14337" max="14337" width="3.42578125" customWidth="1"/>
    <col min="14338" max="14338" width="3.7109375" customWidth="1"/>
    <col min="14339" max="14339" width="11.42578125" customWidth="1"/>
    <col min="14340" max="14340" width="46.140625" customWidth="1"/>
    <col min="14341" max="14345" width="21" customWidth="1"/>
    <col min="14346" max="14346" width="4.5703125" customWidth="1"/>
    <col min="14347" max="14347" width="3" customWidth="1"/>
    <col min="14348" max="14592" width="11.42578125" hidden="1"/>
    <col min="14593" max="14593" width="3.42578125" customWidth="1"/>
    <col min="14594" max="14594" width="3.7109375" customWidth="1"/>
    <col min="14595" max="14595" width="11.42578125" customWidth="1"/>
    <col min="14596" max="14596" width="46.140625" customWidth="1"/>
    <col min="14597" max="14601" width="21" customWidth="1"/>
    <col min="14602" max="14602" width="4.5703125" customWidth="1"/>
    <col min="14603" max="14603" width="3" customWidth="1"/>
    <col min="14604" max="14848" width="11.42578125" hidden="1"/>
    <col min="14849" max="14849" width="3.42578125" customWidth="1"/>
    <col min="14850" max="14850" width="3.7109375" customWidth="1"/>
    <col min="14851" max="14851" width="11.42578125" customWidth="1"/>
    <col min="14852" max="14852" width="46.140625" customWidth="1"/>
    <col min="14853" max="14857" width="21" customWidth="1"/>
    <col min="14858" max="14858" width="4.5703125" customWidth="1"/>
    <col min="14859" max="14859" width="3" customWidth="1"/>
    <col min="14860" max="15104" width="11.42578125" hidden="1"/>
    <col min="15105" max="15105" width="3.42578125" customWidth="1"/>
    <col min="15106" max="15106" width="3.7109375" customWidth="1"/>
    <col min="15107" max="15107" width="11.42578125" customWidth="1"/>
    <col min="15108" max="15108" width="46.140625" customWidth="1"/>
    <col min="15109" max="15113" width="21" customWidth="1"/>
    <col min="15114" max="15114" width="4.5703125" customWidth="1"/>
    <col min="15115" max="15115" width="3" customWidth="1"/>
    <col min="15116" max="15360" width="11.42578125" hidden="1"/>
    <col min="15361" max="15361" width="3.42578125" customWidth="1"/>
    <col min="15362" max="15362" width="3.7109375" customWidth="1"/>
    <col min="15363" max="15363" width="11.42578125" customWidth="1"/>
    <col min="15364" max="15364" width="46.140625" customWidth="1"/>
    <col min="15365" max="15369" width="21" customWidth="1"/>
    <col min="15370" max="15370" width="4.5703125" customWidth="1"/>
    <col min="15371" max="15371" width="3" customWidth="1"/>
    <col min="15372" max="15616" width="11.42578125" hidden="1"/>
    <col min="15617" max="15617" width="3.42578125" customWidth="1"/>
    <col min="15618" max="15618" width="3.7109375" customWidth="1"/>
    <col min="15619" max="15619" width="11.42578125" customWidth="1"/>
    <col min="15620" max="15620" width="46.140625" customWidth="1"/>
    <col min="15621" max="15625" width="21" customWidth="1"/>
    <col min="15626" max="15626" width="4.5703125" customWidth="1"/>
    <col min="15627" max="15627" width="3" customWidth="1"/>
    <col min="15628" max="15872" width="11.42578125" hidden="1"/>
    <col min="15873" max="15873" width="3.42578125" customWidth="1"/>
    <col min="15874" max="15874" width="3.7109375" customWidth="1"/>
    <col min="15875" max="15875" width="11.42578125" customWidth="1"/>
    <col min="15876" max="15876" width="46.140625" customWidth="1"/>
    <col min="15877" max="15881" width="21" customWidth="1"/>
    <col min="15882" max="15882" width="4.5703125" customWidth="1"/>
    <col min="15883" max="15883" width="3" customWidth="1"/>
    <col min="15884" max="16128" width="11.42578125" hidden="1"/>
    <col min="16129" max="16129" width="3.42578125" customWidth="1"/>
    <col min="16130" max="16130" width="3.7109375" customWidth="1"/>
    <col min="16131" max="16131" width="11.42578125" customWidth="1"/>
    <col min="16132" max="16132" width="46.140625" customWidth="1"/>
    <col min="16133" max="16137" width="21" customWidth="1"/>
    <col min="16138" max="16138" width="4.5703125" customWidth="1"/>
    <col min="16139" max="16139" width="3" customWidth="1"/>
    <col min="16140" max="16384" width="11.42578125" hidden="1"/>
  </cols>
  <sheetData>
    <row r="1" spans="2:10" ht="12" customHeight="1">
      <c r="B1" s="49"/>
      <c r="C1" s="64"/>
      <c r="D1" s="49"/>
      <c r="E1" s="49"/>
      <c r="F1" s="49"/>
      <c r="G1" s="49"/>
      <c r="H1" s="49"/>
      <c r="I1" s="49"/>
      <c r="J1" s="49"/>
    </row>
    <row r="2" spans="2:10" ht="15">
      <c r="B2" s="49"/>
      <c r="C2" s="100"/>
      <c r="D2" s="542" t="s">
        <v>412</v>
      </c>
      <c r="E2" s="542"/>
      <c r="F2" s="542"/>
      <c r="G2" s="542"/>
      <c r="H2" s="542"/>
      <c r="I2" s="100"/>
      <c r="J2" s="100"/>
    </row>
    <row r="3" spans="2:10" ht="15">
      <c r="C3" s="100"/>
      <c r="D3" s="542" t="s">
        <v>122</v>
      </c>
      <c r="E3" s="542"/>
      <c r="F3" s="542"/>
      <c r="G3" s="542"/>
      <c r="H3" s="542"/>
      <c r="I3" s="100"/>
      <c r="J3" s="100"/>
    </row>
    <row r="4" spans="2:10" ht="15">
      <c r="C4" s="100"/>
      <c r="D4" s="542" t="s">
        <v>413</v>
      </c>
      <c r="E4" s="542"/>
      <c r="F4" s="542"/>
      <c r="G4" s="542"/>
      <c r="H4" s="542"/>
      <c r="I4" s="100"/>
      <c r="J4" s="100"/>
    </row>
    <row r="5" spans="2:10" ht="15">
      <c r="C5" s="100"/>
      <c r="D5" s="542" t="s">
        <v>123</v>
      </c>
      <c r="E5" s="542"/>
      <c r="F5" s="542"/>
      <c r="G5" s="542"/>
      <c r="H5" s="542"/>
      <c r="I5" s="100"/>
      <c r="J5" s="100"/>
    </row>
    <row r="6" spans="2:10" ht="15">
      <c r="B6" s="101"/>
      <c r="C6" s="53"/>
      <c r="D6" s="543"/>
      <c r="E6" s="543"/>
      <c r="F6" s="543"/>
      <c r="G6" s="543"/>
      <c r="H6" s="543"/>
      <c r="I6" s="543"/>
      <c r="J6" s="543"/>
    </row>
    <row r="7" spans="2:10" ht="15">
      <c r="B7" s="101"/>
      <c r="C7" s="53" t="s">
        <v>3</v>
      </c>
      <c r="D7" s="525" t="s">
        <v>421</v>
      </c>
      <c r="E7" s="525"/>
      <c r="F7" s="525"/>
      <c r="G7" s="525"/>
      <c r="H7" s="525"/>
      <c r="I7" s="102"/>
      <c r="J7" s="102"/>
    </row>
    <row r="8" spans="2:10" ht="6" customHeight="1">
      <c r="B8" s="101"/>
      <c r="C8" s="101"/>
      <c r="D8" s="101" t="s">
        <v>124</v>
      </c>
      <c r="E8" s="101"/>
      <c r="F8" s="101"/>
      <c r="G8" s="101"/>
      <c r="H8" s="101"/>
      <c r="I8" s="101"/>
      <c r="J8" s="101"/>
    </row>
    <row r="9" spans="2:10" ht="6.75" customHeight="1">
      <c r="B9" s="101"/>
      <c r="C9" s="101"/>
      <c r="D9" s="101"/>
      <c r="E9" s="101"/>
      <c r="F9" s="101"/>
      <c r="G9" s="101"/>
      <c r="H9" s="101"/>
      <c r="I9" s="101"/>
      <c r="J9" s="101"/>
    </row>
    <row r="10" spans="2:10" ht="48">
      <c r="B10" s="122"/>
      <c r="C10" s="532" t="s">
        <v>67</v>
      </c>
      <c r="D10" s="532"/>
      <c r="E10" s="123" t="s">
        <v>50</v>
      </c>
      <c r="F10" s="123" t="s">
        <v>125</v>
      </c>
      <c r="G10" s="123" t="s">
        <v>126</v>
      </c>
      <c r="H10" s="123" t="s">
        <v>127</v>
      </c>
      <c r="I10" s="123" t="s">
        <v>128</v>
      </c>
      <c r="J10" s="124"/>
    </row>
    <row r="11" spans="2:10" ht="15">
      <c r="B11" s="103"/>
      <c r="C11" s="101"/>
      <c r="D11" s="101"/>
      <c r="E11" s="101"/>
      <c r="F11" s="101"/>
      <c r="G11" s="101"/>
      <c r="H11" s="101"/>
      <c r="I11" s="101"/>
      <c r="J11" s="104"/>
    </row>
    <row r="12" spans="2:10" ht="15">
      <c r="B12" s="105"/>
      <c r="C12" s="106"/>
      <c r="D12" s="420"/>
      <c r="E12" s="93"/>
      <c r="F12" s="107"/>
      <c r="G12" s="70"/>
      <c r="H12" s="64"/>
      <c r="I12" s="106"/>
      <c r="J12" s="108"/>
    </row>
    <row r="13" spans="2:10" ht="15">
      <c r="B13" s="109"/>
      <c r="C13" s="536" t="s">
        <v>59</v>
      </c>
      <c r="D13" s="536"/>
      <c r="E13" s="110">
        <v>0</v>
      </c>
      <c r="F13" s="110">
        <v>0</v>
      </c>
      <c r="G13" s="110">
        <v>0</v>
      </c>
      <c r="H13" s="110">
        <v>0</v>
      </c>
      <c r="I13" s="111">
        <f>SUM(E13:H13)</f>
        <v>0</v>
      </c>
      <c r="J13" s="108"/>
    </row>
    <row r="14" spans="2:10" ht="15">
      <c r="B14" s="109"/>
      <c r="C14" s="423"/>
      <c r="D14" s="93"/>
      <c r="E14" s="112"/>
      <c r="F14" s="112"/>
      <c r="G14" s="112"/>
      <c r="H14" s="112"/>
      <c r="I14" s="112"/>
      <c r="J14" s="108"/>
    </row>
    <row r="15" spans="2:10" ht="15">
      <c r="B15" s="109"/>
      <c r="C15" s="544" t="s">
        <v>129</v>
      </c>
      <c r="D15" s="544"/>
      <c r="E15" s="113">
        <f>SUM(E16:E18)</f>
        <v>1852143.02</v>
      </c>
      <c r="F15" s="113">
        <f>SUM(F16:F18)</f>
        <v>0</v>
      </c>
      <c r="G15" s="113">
        <f>SUM(G16:G18)</f>
        <v>0</v>
      </c>
      <c r="H15" s="113">
        <f>SUM(H16:H18)</f>
        <v>0</v>
      </c>
      <c r="I15" s="113">
        <f>SUM(E15:H15)</f>
        <v>1852143.02</v>
      </c>
      <c r="J15" s="108"/>
    </row>
    <row r="16" spans="2:10" ht="15">
      <c r="B16" s="105"/>
      <c r="C16" s="534" t="s">
        <v>130</v>
      </c>
      <c r="D16" s="534"/>
      <c r="E16" s="114">
        <v>0</v>
      </c>
      <c r="F16" s="114">
        <v>0</v>
      </c>
      <c r="G16" s="114">
        <v>0</v>
      </c>
      <c r="H16" s="114">
        <v>0</v>
      </c>
      <c r="I16" s="112">
        <f>SUM(E16:H16)</f>
        <v>0</v>
      </c>
      <c r="J16" s="108"/>
    </row>
    <row r="17" spans="2:10" ht="15">
      <c r="B17" s="105"/>
      <c r="C17" s="534" t="s">
        <v>52</v>
      </c>
      <c r="D17" s="534"/>
      <c r="E17" s="114">
        <v>1852143.02</v>
      </c>
      <c r="F17" s="114">
        <v>0</v>
      </c>
      <c r="G17" s="114">
        <v>0</v>
      </c>
      <c r="H17" s="114">
        <v>0</v>
      </c>
      <c r="I17" s="112">
        <f>SUM(E17:H17)</f>
        <v>1852143.02</v>
      </c>
      <c r="J17" s="108"/>
    </row>
    <row r="18" spans="2:10" ht="15">
      <c r="B18" s="105"/>
      <c r="C18" s="534" t="s">
        <v>131</v>
      </c>
      <c r="D18" s="534"/>
      <c r="E18" s="114">
        <v>0</v>
      </c>
      <c r="F18" s="114">
        <v>0</v>
      </c>
      <c r="G18" s="114">
        <v>0</v>
      </c>
      <c r="H18" s="114">
        <v>0</v>
      </c>
      <c r="I18" s="112">
        <f>SUM(E18:H18)</f>
        <v>0</v>
      </c>
      <c r="J18" s="108"/>
    </row>
    <row r="19" spans="2:10" ht="15">
      <c r="B19" s="109"/>
      <c r="C19" s="423"/>
      <c r="D19" s="93"/>
      <c r="E19" s="112"/>
      <c r="F19" s="112"/>
      <c r="G19" s="112"/>
      <c r="H19" s="112"/>
      <c r="I19" s="112"/>
      <c r="J19" s="108"/>
    </row>
    <row r="20" spans="2:10" ht="15">
      <c r="B20" s="109"/>
      <c r="C20" s="544" t="s">
        <v>132</v>
      </c>
      <c r="D20" s="544"/>
      <c r="E20" s="113">
        <f>SUM(E21:E24)</f>
        <v>0</v>
      </c>
      <c r="F20" s="113">
        <f>SUM(F21:F24)</f>
        <v>27330567.120000001</v>
      </c>
      <c r="G20" s="113">
        <f>SUM(G21:G24)</f>
        <v>0</v>
      </c>
      <c r="H20" s="113">
        <f>SUM(H21:H24)</f>
        <v>0</v>
      </c>
      <c r="I20" s="113">
        <f>SUM(E20:H20)</f>
        <v>27330567.120000001</v>
      </c>
      <c r="J20" s="108"/>
    </row>
    <row r="21" spans="2:10" ht="15">
      <c r="B21" s="105"/>
      <c r="C21" s="534" t="s">
        <v>133</v>
      </c>
      <c r="D21" s="534"/>
      <c r="E21" s="114">
        <v>0</v>
      </c>
      <c r="F21" s="114">
        <v>0</v>
      </c>
      <c r="G21" s="114">
        <v>0</v>
      </c>
      <c r="H21" s="114">
        <v>0</v>
      </c>
      <c r="I21" s="112">
        <f>SUM(E21:H21)</f>
        <v>0</v>
      </c>
      <c r="J21" s="108"/>
    </row>
    <row r="22" spans="2:10" ht="15">
      <c r="B22" s="105"/>
      <c r="C22" s="534" t="s">
        <v>56</v>
      </c>
      <c r="D22" s="534"/>
      <c r="E22" s="114">
        <v>0</v>
      </c>
      <c r="F22" s="114">
        <v>27330567.120000001</v>
      </c>
      <c r="G22" s="114">
        <v>0</v>
      </c>
      <c r="H22" s="114">
        <v>0</v>
      </c>
      <c r="I22" s="112">
        <f>SUM(E22:H22)</f>
        <v>27330567.120000001</v>
      </c>
      <c r="J22" s="108"/>
    </row>
    <row r="23" spans="2:10" ht="15">
      <c r="B23" s="105"/>
      <c r="C23" s="534" t="s">
        <v>134</v>
      </c>
      <c r="D23" s="534"/>
      <c r="E23" s="114">
        <v>0</v>
      </c>
      <c r="F23" s="114">
        <v>0</v>
      </c>
      <c r="G23" s="114">
        <v>0</v>
      </c>
      <c r="H23" s="114">
        <v>0</v>
      </c>
      <c r="I23" s="112">
        <f>SUM(E23:H23)</f>
        <v>0</v>
      </c>
      <c r="J23" s="108"/>
    </row>
    <row r="24" spans="2:10" ht="15">
      <c r="B24" s="105"/>
      <c r="C24" s="534" t="s">
        <v>58</v>
      </c>
      <c r="D24" s="534"/>
      <c r="E24" s="114">
        <v>0</v>
      </c>
      <c r="F24" s="114">
        <v>0</v>
      </c>
      <c r="G24" s="114">
        <v>0</v>
      </c>
      <c r="H24" s="114">
        <v>0</v>
      </c>
      <c r="I24" s="112">
        <f>SUM(E24:H24)</f>
        <v>0</v>
      </c>
      <c r="J24" s="108"/>
    </row>
    <row r="25" spans="2:10" ht="15">
      <c r="B25" s="109"/>
      <c r="C25" s="423"/>
      <c r="D25" s="93"/>
      <c r="E25" s="112"/>
      <c r="F25" s="112"/>
      <c r="G25" s="112"/>
      <c r="H25" s="112"/>
      <c r="I25" s="112"/>
      <c r="J25" s="108"/>
    </row>
    <row r="26" spans="2:10" ht="15.75" thickBot="1">
      <c r="B26" s="109"/>
      <c r="C26" s="545" t="s">
        <v>425</v>
      </c>
      <c r="D26" s="545"/>
      <c r="E26" s="115">
        <f>E13+E15+E20</f>
        <v>1852143.02</v>
      </c>
      <c r="F26" s="115">
        <f>F13+F15+F20</f>
        <v>27330567.120000001</v>
      </c>
      <c r="G26" s="115">
        <f>G13+G15+G20</f>
        <v>0</v>
      </c>
      <c r="H26" s="115">
        <f>H13+H15+H20</f>
        <v>0</v>
      </c>
      <c r="I26" s="115">
        <f>I13+I15+I20</f>
        <v>29182710.140000001</v>
      </c>
      <c r="J26" s="108"/>
    </row>
    <row r="27" spans="2:10" ht="15">
      <c r="B27" s="105"/>
      <c r="C27" s="93"/>
      <c r="D27" s="70"/>
      <c r="E27" s="112"/>
      <c r="F27" s="112"/>
      <c r="G27" s="112"/>
      <c r="H27" s="112"/>
      <c r="I27" s="112"/>
      <c r="J27" s="108"/>
    </row>
    <row r="28" spans="2:10" ht="15">
      <c r="B28" s="109"/>
      <c r="C28" s="544" t="s">
        <v>135</v>
      </c>
      <c r="D28" s="544"/>
      <c r="E28" s="113">
        <f>SUM(E29:E31)</f>
        <v>0</v>
      </c>
      <c r="F28" s="113">
        <f>SUM(F29:F31)</f>
        <v>0</v>
      </c>
      <c r="G28" s="113">
        <f>SUM(G29:G31)</f>
        <v>0</v>
      </c>
      <c r="H28" s="113">
        <f>SUM(H29:H31)</f>
        <v>0</v>
      </c>
      <c r="I28" s="113">
        <f>SUM(E28:H28)</f>
        <v>0</v>
      </c>
      <c r="J28" s="108"/>
    </row>
    <row r="29" spans="2:10" ht="15">
      <c r="B29" s="105"/>
      <c r="C29" s="534" t="s">
        <v>51</v>
      </c>
      <c r="D29" s="534"/>
      <c r="E29" s="114">
        <v>0</v>
      </c>
      <c r="F29" s="114">
        <v>0</v>
      </c>
      <c r="G29" s="114">
        <v>0</v>
      </c>
      <c r="H29" s="114">
        <v>0</v>
      </c>
      <c r="I29" s="112">
        <f>SUM(E29:H29)</f>
        <v>0</v>
      </c>
      <c r="J29" s="108"/>
    </row>
    <row r="30" spans="2:10" ht="15">
      <c r="B30" s="105"/>
      <c r="C30" s="534" t="s">
        <v>52</v>
      </c>
      <c r="D30" s="534"/>
      <c r="E30" s="114">
        <v>0</v>
      </c>
      <c r="F30" s="114">
        <v>0</v>
      </c>
      <c r="G30" s="114">
        <v>0</v>
      </c>
      <c r="H30" s="114">
        <v>0</v>
      </c>
      <c r="I30" s="112">
        <f>SUM(E30:H30)</f>
        <v>0</v>
      </c>
      <c r="J30" s="108"/>
    </row>
    <row r="31" spans="2:10" ht="15">
      <c r="B31" s="105"/>
      <c r="C31" s="534" t="s">
        <v>131</v>
      </c>
      <c r="D31" s="534"/>
      <c r="E31" s="114">
        <v>0</v>
      </c>
      <c r="F31" s="114">
        <v>0</v>
      </c>
      <c r="G31" s="114">
        <v>0</v>
      </c>
      <c r="H31" s="114">
        <v>0</v>
      </c>
      <c r="I31" s="112">
        <f>SUM(E31:H31)</f>
        <v>0</v>
      </c>
      <c r="J31" s="108"/>
    </row>
    <row r="32" spans="2:10" ht="15">
      <c r="B32" s="109"/>
      <c r="C32" s="423"/>
      <c r="D32" s="93"/>
      <c r="E32" s="112"/>
      <c r="F32" s="112"/>
      <c r="G32" s="112"/>
      <c r="H32" s="112"/>
      <c r="I32" s="112"/>
      <c r="J32" s="108"/>
    </row>
    <row r="33" spans="2:11" ht="15">
      <c r="B33" s="109" t="s">
        <v>124</v>
      </c>
      <c r="C33" s="544" t="s">
        <v>136</v>
      </c>
      <c r="D33" s="544"/>
      <c r="E33" s="113">
        <f>SUM(E34:E37)</f>
        <v>0</v>
      </c>
      <c r="F33" s="113">
        <f>SUM(F34:F37)</f>
        <v>0</v>
      </c>
      <c r="G33" s="113">
        <f>SUM(G34:G37)</f>
        <v>1173480.8799999999</v>
      </c>
      <c r="H33" s="113">
        <f>SUM(H34:H37)</f>
        <v>0</v>
      </c>
      <c r="I33" s="113">
        <f>SUM(E33:H33)</f>
        <v>1173480.8799999999</v>
      </c>
      <c r="J33" s="108"/>
    </row>
    <row r="34" spans="2:11" ht="15">
      <c r="B34" s="105"/>
      <c r="C34" s="534" t="s">
        <v>133</v>
      </c>
      <c r="D34" s="534"/>
      <c r="E34" s="114">
        <v>0</v>
      </c>
      <c r="F34" s="114">
        <v>0</v>
      </c>
      <c r="G34" s="114">
        <v>1173480.8799999999</v>
      </c>
      <c r="H34" s="114">
        <v>0</v>
      </c>
      <c r="I34" s="112">
        <f>SUM(E34:H34)</f>
        <v>1173480.8799999999</v>
      </c>
      <c r="J34" s="108"/>
    </row>
    <row r="35" spans="2:11" ht="15">
      <c r="B35" s="105"/>
      <c r="C35" s="534" t="s">
        <v>56</v>
      </c>
      <c r="D35" s="534"/>
      <c r="E35" s="114">
        <v>0</v>
      </c>
      <c r="F35" s="114">
        <v>0</v>
      </c>
      <c r="G35" s="114">
        <v>0</v>
      </c>
      <c r="H35" s="114">
        <v>0</v>
      </c>
      <c r="I35" s="112">
        <f>SUM(E35:H35)</f>
        <v>0</v>
      </c>
      <c r="J35" s="108"/>
    </row>
    <row r="36" spans="2:11" ht="15">
      <c r="B36" s="105"/>
      <c r="C36" s="534" t="s">
        <v>134</v>
      </c>
      <c r="D36" s="534"/>
      <c r="E36" s="114">
        <v>0</v>
      </c>
      <c r="F36" s="114">
        <v>0</v>
      </c>
      <c r="G36" s="114">
        <v>0</v>
      </c>
      <c r="H36" s="114">
        <v>0</v>
      </c>
      <c r="I36" s="112">
        <f>SUM(E36:H36)</f>
        <v>0</v>
      </c>
      <c r="J36" s="108"/>
    </row>
    <row r="37" spans="2:11" ht="15">
      <c r="B37" s="105"/>
      <c r="C37" s="534" t="s">
        <v>58</v>
      </c>
      <c r="D37" s="534"/>
      <c r="E37" s="114">
        <v>0</v>
      </c>
      <c r="F37" s="114">
        <v>0</v>
      </c>
      <c r="G37" s="114">
        <v>0</v>
      </c>
      <c r="H37" s="114">
        <v>0</v>
      </c>
      <c r="I37" s="112">
        <f>SUM(E37:H37)</f>
        <v>0</v>
      </c>
      <c r="J37" s="108"/>
    </row>
    <row r="38" spans="2:11" ht="15">
      <c r="B38" s="109"/>
      <c r="C38" s="423"/>
      <c r="D38" s="93"/>
      <c r="E38" s="112"/>
      <c r="F38" s="112"/>
      <c r="G38" s="112"/>
      <c r="H38" s="112"/>
      <c r="I38" s="112"/>
      <c r="J38" s="108"/>
    </row>
    <row r="39" spans="2:11" ht="15">
      <c r="B39" s="116"/>
      <c r="C39" s="547" t="s">
        <v>426</v>
      </c>
      <c r="D39" s="547"/>
      <c r="E39" s="117">
        <f>E26+E28+E33</f>
        <v>1852143.02</v>
      </c>
      <c r="F39" s="117">
        <f>F26+F28+F33</f>
        <v>27330567.120000001</v>
      </c>
      <c r="G39" s="117">
        <f>G26+G28+G33</f>
        <v>1173480.8799999999</v>
      </c>
      <c r="H39" s="117">
        <f>H26+H28+H33</f>
        <v>0</v>
      </c>
      <c r="I39" s="117">
        <f>SUM(E39:H39)</f>
        <v>30356191.02</v>
      </c>
      <c r="J39" s="118"/>
    </row>
    <row r="40" spans="2:11" ht="15">
      <c r="B40" s="119"/>
      <c r="C40" s="119"/>
      <c r="D40" s="119"/>
      <c r="E40" s="119"/>
      <c r="F40" s="119"/>
      <c r="G40" s="119"/>
      <c r="H40" s="119"/>
      <c r="I40" s="119"/>
      <c r="J40" s="120"/>
    </row>
    <row r="41" spans="2:11" ht="15">
      <c r="E41" s="121"/>
      <c r="F41" s="121"/>
      <c r="J41" s="420"/>
    </row>
    <row r="42" spans="2:11" ht="15">
      <c r="B42" s="49"/>
      <c r="C42" s="539" t="s">
        <v>65</v>
      </c>
      <c r="D42" s="539"/>
      <c r="E42" s="539"/>
      <c r="F42" s="539"/>
      <c r="G42" s="539"/>
      <c r="H42" s="539"/>
      <c r="I42" s="539"/>
      <c r="J42" s="539"/>
      <c r="K42" s="70"/>
    </row>
    <row r="43" spans="2:11" ht="15">
      <c r="B43" s="49"/>
      <c r="C43" s="70"/>
      <c r="D43" s="88"/>
      <c r="E43" s="89"/>
      <c r="F43" s="89"/>
      <c r="G43" s="49"/>
      <c r="H43" s="90"/>
      <c r="I43" s="88"/>
      <c r="J43" s="89"/>
      <c r="K43" s="89"/>
    </row>
    <row r="44" spans="2:11" ht="15">
      <c r="B44" s="49"/>
      <c r="C44" s="70"/>
      <c r="D44" s="540"/>
      <c r="E44" s="540"/>
      <c r="F44" s="89"/>
      <c r="G44" s="49"/>
      <c r="H44" s="541"/>
      <c r="I44" s="541"/>
      <c r="J44" s="89"/>
      <c r="K44" s="89"/>
    </row>
    <row r="45" spans="2:11" ht="15">
      <c r="B45" s="49"/>
      <c r="C45" s="92"/>
      <c r="D45" s="531" t="s">
        <v>437</v>
      </c>
      <c r="E45" s="531"/>
      <c r="F45" s="89"/>
      <c r="G45" s="89"/>
      <c r="H45" s="531" t="s">
        <v>422</v>
      </c>
      <c r="I45" s="531"/>
      <c r="J45" s="93"/>
      <c r="K45" s="89"/>
    </row>
    <row r="46" spans="2:11" ht="15" customHeight="1">
      <c r="B46" s="49"/>
      <c r="C46" s="94"/>
      <c r="D46" s="529" t="s">
        <v>438</v>
      </c>
      <c r="E46" s="529"/>
      <c r="F46" s="95"/>
      <c r="G46" s="95"/>
      <c r="H46" s="546" t="s">
        <v>423</v>
      </c>
      <c r="I46" s="546"/>
      <c r="J46" s="93"/>
      <c r="K46" s="89"/>
    </row>
    <row r="47" spans="2:11" ht="15"/>
  </sheetData>
  <sheetProtection password="DF2C" sheet="1" objects="1" scenarios="1" formatCells="0" formatColumns="0" formatRows="0"/>
  <mergeCells count="35">
    <mergeCell ref="D45:E45"/>
    <mergeCell ref="H45:I45"/>
    <mergeCell ref="D46:E46"/>
    <mergeCell ref="H46:I46"/>
    <mergeCell ref="C35:D35"/>
    <mergeCell ref="C36:D36"/>
    <mergeCell ref="C37:D37"/>
    <mergeCell ref="C39:D39"/>
    <mergeCell ref="C42:J42"/>
    <mergeCell ref="D44:E44"/>
    <mergeCell ref="H44:I44"/>
    <mergeCell ref="C34:D34"/>
    <mergeCell ref="C20:D20"/>
    <mergeCell ref="C21:D21"/>
    <mergeCell ref="C22:D22"/>
    <mergeCell ref="C23:D23"/>
    <mergeCell ref="C24:D24"/>
    <mergeCell ref="C26:D26"/>
    <mergeCell ref="C28:D28"/>
    <mergeCell ref="C29:D29"/>
    <mergeCell ref="C30:D30"/>
    <mergeCell ref="C31:D31"/>
    <mergeCell ref="C33:D33"/>
    <mergeCell ref="C18:D18"/>
    <mergeCell ref="D2:H2"/>
    <mergeCell ref="D3:H3"/>
    <mergeCell ref="D4:H4"/>
    <mergeCell ref="D5:H5"/>
    <mergeCell ref="D6:J6"/>
    <mergeCell ref="D7:H7"/>
    <mergeCell ref="C10:D10"/>
    <mergeCell ref="C13:D13"/>
    <mergeCell ref="C15:D15"/>
    <mergeCell ref="C16:D16"/>
    <mergeCell ref="C17:D17"/>
  </mergeCells>
  <pageMargins left="0.70866141732283472" right="0.70866141732283472" top="0.74803149606299213" bottom="0.74803149606299213" header="0.31496062992125984" footer="0.31496062992125984"/>
  <pageSetup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Q60"/>
  <sheetViews>
    <sheetView showGridLines="0" topLeftCell="A34" zoomScale="80" zoomScaleNormal="80" workbookViewId="0">
      <selection activeCell="D58" sqref="D58:G59"/>
    </sheetView>
  </sheetViews>
  <sheetFormatPr baseColWidth="10" defaultColWidth="0" defaultRowHeight="12" customHeight="1" zeroHeight="1"/>
  <cols>
    <col min="1" max="1" width="3.42578125" style="54" customWidth="1"/>
    <col min="2" max="3" width="3.7109375" style="54" customWidth="1"/>
    <col min="4" max="4" width="24" style="54" customWidth="1"/>
    <col min="5" max="5" width="22.85546875" style="54" customWidth="1"/>
    <col min="6" max="6" width="20.140625" style="54" customWidth="1"/>
    <col min="7" max="8" width="18.7109375" style="64" customWidth="1"/>
    <col min="9" max="9" width="7.7109375" style="54" customWidth="1"/>
    <col min="10" max="11" width="3.7109375" style="125" customWidth="1"/>
    <col min="12" max="16" width="18.7109375" style="125" customWidth="1"/>
    <col min="17" max="17" width="1.85546875" style="125" customWidth="1"/>
    <col min="18" max="18" width="3" style="125" customWidth="1"/>
    <col min="19" max="256" width="0" style="125" hidden="1"/>
    <col min="257" max="257" width="3.42578125" style="125" customWidth="1"/>
    <col min="258" max="259" width="3.7109375" style="125" customWidth="1"/>
    <col min="260" max="260" width="24" style="125" customWidth="1"/>
    <col min="261" max="261" width="22.85546875" style="125" customWidth="1"/>
    <col min="262" max="262" width="20.140625" style="125" customWidth="1"/>
    <col min="263" max="264" width="18.7109375" style="125" customWidth="1"/>
    <col min="265" max="265" width="7.7109375" style="125" customWidth="1"/>
    <col min="266" max="267" width="3.7109375" style="125" customWidth="1"/>
    <col min="268" max="272" width="18.7109375" style="125" customWidth="1"/>
    <col min="273" max="273" width="1.85546875" style="125" customWidth="1"/>
    <col min="274" max="274" width="3" style="125" customWidth="1"/>
    <col min="275" max="512" width="0" style="125" hidden="1"/>
    <col min="513" max="513" width="3.42578125" style="125" customWidth="1"/>
    <col min="514" max="515" width="3.7109375" style="125" customWidth="1"/>
    <col min="516" max="516" width="24" style="125" customWidth="1"/>
    <col min="517" max="517" width="22.85546875" style="125" customWidth="1"/>
    <col min="518" max="518" width="20.140625" style="125" customWidth="1"/>
    <col min="519" max="520" width="18.7109375" style="125" customWidth="1"/>
    <col min="521" max="521" width="7.7109375" style="125" customWidth="1"/>
    <col min="522" max="523" width="3.7109375" style="125" customWidth="1"/>
    <col min="524" max="528" width="18.7109375" style="125" customWidth="1"/>
    <col min="529" max="529" width="1.85546875" style="125" customWidth="1"/>
    <col min="530" max="530" width="3" style="125" customWidth="1"/>
    <col min="531" max="768" width="0" style="125" hidden="1"/>
    <col min="769" max="769" width="3.42578125" style="125" customWidth="1"/>
    <col min="770" max="771" width="3.7109375" style="125" customWidth="1"/>
    <col min="772" max="772" width="24" style="125" customWidth="1"/>
    <col min="773" max="773" width="22.85546875" style="125" customWidth="1"/>
    <col min="774" max="774" width="20.140625" style="125" customWidth="1"/>
    <col min="775" max="776" width="18.7109375" style="125" customWidth="1"/>
    <col min="777" max="777" width="7.7109375" style="125" customWidth="1"/>
    <col min="778" max="779" width="3.7109375" style="125" customWidth="1"/>
    <col min="780" max="784" width="18.7109375" style="125" customWidth="1"/>
    <col min="785" max="785" width="1.85546875" style="125" customWidth="1"/>
    <col min="786" max="786" width="3" style="125" customWidth="1"/>
    <col min="787" max="1024" width="0" style="125" hidden="1"/>
    <col min="1025" max="1025" width="3.42578125" style="125" customWidth="1"/>
    <col min="1026" max="1027" width="3.7109375" style="125" customWidth="1"/>
    <col min="1028" max="1028" width="24" style="125" customWidth="1"/>
    <col min="1029" max="1029" width="22.85546875" style="125" customWidth="1"/>
    <col min="1030" max="1030" width="20.140625" style="125" customWidth="1"/>
    <col min="1031" max="1032" width="18.7109375" style="125" customWidth="1"/>
    <col min="1033" max="1033" width="7.7109375" style="125" customWidth="1"/>
    <col min="1034" max="1035" width="3.7109375" style="125" customWidth="1"/>
    <col min="1036" max="1040" width="18.7109375" style="125" customWidth="1"/>
    <col min="1041" max="1041" width="1.85546875" style="125" customWidth="1"/>
    <col min="1042" max="1042" width="3" style="125" customWidth="1"/>
    <col min="1043" max="1280" width="0" style="125" hidden="1"/>
    <col min="1281" max="1281" width="3.42578125" style="125" customWidth="1"/>
    <col min="1282" max="1283" width="3.7109375" style="125" customWidth="1"/>
    <col min="1284" max="1284" width="24" style="125" customWidth="1"/>
    <col min="1285" max="1285" width="22.85546875" style="125" customWidth="1"/>
    <col min="1286" max="1286" width="20.140625" style="125" customWidth="1"/>
    <col min="1287" max="1288" width="18.7109375" style="125" customWidth="1"/>
    <col min="1289" max="1289" width="7.7109375" style="125" customWidth="1"/>
    <col min="1290" max="1291" width="3.7109375" style="125" customWidth="1"/>
    <col min="1292" max="1296" width="18.7109375" style="125" customWidth="1"/>
    <col min="1297" max="1297" width="1.85546875" style="125" customWidth="1"/>
    <col min="1298" max="1298" width="3" style="125" customWidth="1"/>
    <col min="1299" max="1536" width="0" style="125" hidden="1"/>
    <col min="1537" max="1537" width="3.42578125" style="125" customWidth="1"/>
    <col min="1538" max="1539" width="3.7109375" style="125" customWidth="1"/>
    <col min="1540" max="1540" width="24" style="125" customWidth="1"/>
    <col min="1541" max="1541" width="22.85546875" style="125" customWidth="1"/>
    <col min="1542" max="1542" width="20.140625" style="125" customWidth="1"/>
    <col min="1543" max="1544" width="18.7109375" style="125" customWidth="1"/>
    <col min="1545" max="1545" width="7.7109375" style="125" customWidth="1"/>
    <col min="1546" max="1547" width="3.7109375" style="125" customWidth="1"/>
    <col min="1548" max="1552" width="18.7109375" style="125" customWidth="1"/>
    <col min="1553" max="1553" width="1.85546875" style="125" customWidth="1"/>
    <col min="1554" max="1554" width="3" style="125" customWidth="1"/>
    <col min="1555" max="1792" width="0" style="125" hidden="1"/>
    <col min="1793" max="1793" width="3.42578125" style="125" customWidth="1"/>
    <col min="1794" max="1795" width="3.7109375" style="125" customWidth="1"/>
    <col min="1796" max="1796" width="24" style="125" customWidth="1"/>
    <col min="1797" max="1797" width="22.85546875" style="125" customWidth="1"/>
    <col min="1798" max="1798" width="20.140625" style="125" customWidth="1"/>
    <col min="1799" max="1800" width="18.7109375" style="125" customWidth="1"/>
    <col min="1801" max="1801" width="7.7109375" style="125" customWidth="1"/>
    <col min="1802" max="1803" width="3.7109375" style="125" customWidth="1"/>
    <col min="1804" max="1808" width="18.7109375" style="125" customWidth="1"/>
    <col min="1809" max="1809" width="1.85546875" style="125" customWidth="1"/>
    <col min="1810" max="1810" width="3" style="125" customWidth="1"/>
    <col min="1811" max="2048" width="0" style="125" hidden="1"/>
    <col min="2049" max="2049" width="3.42578125" style="125" customWidth="1"/>
    <col min="2050" max="2051" width="3.7109375" style="125" customWidth="1"/>
    <col min="2052" max="2052" width="24" style="125" customWidth="1"/>
    <col min="2053" max="2053" width="22.85546875" style="125" customWidth="1"/>
    <col min="2054" max="2054" width="20.140625" style="125" customWidth="1"/>
    <col min="2055" max="2056" width="18.7109375" style="125" customWidth="1"/>
    <col min="2057" max="2057" width="7.7109375" style="125" customWidth="1"/>
    <col min="2058" max="2059" width="3.7109375" style="125" customWidth="1"/>
    <col min="2060" max="2064" width="18.7109375" style="125" customWidth="1"/>
    <col min="2065" max="2065" width="1.85546875" style="125" customWidth="1"/>
    <col min="2066" max="2066" width="3" style="125" customWidth="1"/>
    <col min="2067" max="2304" width="0" style="125" hidden="1"/>
    <col min="2305" max="2305" width="3.42578125" style="125" customWidth="1"/>
    <col min="2306" max="2307" width="3.7109375" style="125" customWidth="1"/>
    <col min="2308" max="2308" width="24" style="125" customWidth="1"/>
    <col min="2309" max="2309" width="22.85546875" style="125" customWidth="1"/>
    <col min="2310" max="2310" width="20.140625" style="125" customWidth="1"/>
    <col min="2311" max="2312" width="18.7109375" style="125" customWidth="1"/>
    <col min="2313" max="2313" width="7.7109375" style="125" customWidth="1"/>
    <col min="2314" max="2315" width="3.7109375" style="125" customWidth="1"/>
    <col min="2316" max="2320" width="18.7109375" style="125" customWidth="1"/>
    <col min="2321" max="2321" width="1.85546875" style="125" customWidth="1"/>
    <col min="2322" max="2322" width="3" style="125" customWidth="1"/>
    <col min="2323" max="2560" width="0" style="125" hidden="1"/>
    <col min="2561" max="2561" width="3.42578125" style="125" customWidth="1"/>
    <col min="2562" max="2563" width="3.7109375" style="125" customWidth="1"/>
    <col min="2564" max="2564" width="24" style="125" customWidth="1"/>
    <col min="2565" max="2565" width="22.85546875" style="125" customWidth="1"/>
    <col min="2566" max="2566" width="20.140625" style="125" customWidth="1"/>
    <col min="2567" max="2568" width="18.7109375" style="125" customWidth="1"/>
    <col min="2569" max="2569" width="7.7109375" style="125" customWidth="1"/>
    <col min="2570" max="2571" width="3.7109375" style="125" customWidth="1"/>
    <col min="2572" max="2576" width="18.7109375" style="125" customWidth="1"/>
    <col min="2577" max="2577" width="1.85546875" style="125" customWidth="1"/>
    <col min="2578" max="2578" width="3" style="125" customWidth="1"/>
    <col min="2579" max="2816" width="0" style="125" hidden="1"/>
    <col min="2817" max="2817" width="3.42578125" style="125" customWidth="1"/>
    <col min="2818" max="2819" width="3.7109375" style="125" customWidth="1"/>
    <col min="2820" max="2820" width="24" style="125" customWidth="1"/>
    <col min="2821" max="2821" width="22.85546875" style="125" customWidth="1"/>
    <col min="2822" max="2822" width="20.140625" style="125" customWidth="1"/>
    <col min="2823" max="2824" width="18.7109375" style="125" customWidth="1"/>
    <col min="2825" max="2825" width="7.7109375" style="125" customWidth="1"/>
    <col min="2826" max="2827" width="3.7109375" style="125" customWidth="1"/>
    <col min="2828" max="2832" width="18.7109375" style="125" customWidth="1"/>
    <col min="2833" max="2833" width="1.85546875" style="125" customWidth="1"/>
    <col min="2834" max="2834" width="3" style="125" customWidth="1"/>
    <col min="2835" max="3072" width="0" style="125" hidden="1"/>
    <col min="3073" max="3073" width="3.42578125" style="125" customWidth="1"/>
    <col min="3074" max="3075" width="3.7109375" style="125" customWidth="1"/>
    <col min="3076" max="3076" width="24" style="125" customWidth="1"/>
    <col min="3077" max="3077" width="22.85546875" style="125" customWidth="1"/>
    <col min="3078" max="3078" width="20.140625" style="125" customWidth="1"/>
    <col min="3079" max="3080" width="18.7109375" style="125" customWidth="1"/>
    <col min="3081" max="3081" width="7.7109375" style="125" customWidth="1"/>
    <col min="3082" max="3083" width="3.7109375" style="125" customWidth="1"/>
    <col min="3084" max="3088" width="18.7109375" style="125" customWidth="1"/>
    <col min="3089" max="3089" width="1.85546875" style="125" customWidth="1"/>
    <col min="3090" max="3090" width="3" style="125" customWidth="1"/>
    <col min="3091" max="3328" width="0" style="125" hidden="1"/>
    <col min="3329" max="3329" width="3.42578125" style="125" customWidth="1"/>
    <col min="3330" max="3331" width="3.7109375" style="125" customWidth="1"/>
    <col min="3332" max="3332" width="24" style="125" customWidth="1"/>
    <col min="3333" max="3333" width="22.85546875" style="125" customWidth="1"/>
    <col min="3334" max="3334" width="20.140625" style="125" customWidth="1"/>
    <col min="3335" max="3336" width="18.7109375" style="125" customWidth="1"/>
    <col min="3337" max="3337" width="7.7109375" style="125" customWidth="1"/>
    <col min="3338" max="3339" width="3.7109375" style="125" customWidth="1"/>
    <col min="3340" max="3344" width="18.7109375" style="125" customWidth="1"/>
    <col min="3345" max="3345" width="1.85546875" style="125" customWidth="1"/>
    <col min="3346" max="3346" width="3" style="125" customWidth="1"/>
    <col min="3347" max="3584" width="0" style="125" hidden="1"/>
    <col min="3585" max="3585" width="3.42578125" style="125" customWidth="1"/>
    <col min="3586" max="3587" width="3.7109375" style="125" customWidth="1"/>
    <col min="3588" max="3588" width="24" style="125" customWidth="1"/>
    <col min="3589" max="3589" width="22.85546875" style="125" customWidth="1"/>
    <col min="3590" max="3590" width="20.140625" style="125" customWidth="1"/>
    <col min="3591" max="3592" width="18.7109375" style="125" customWidth="1"/>
    <col min="3593" max="3593" width="7.7109375" style="125" customWidth="1"/>
    <col min="3594" max="3595" width="3.7109375" style="125" customWidth="1"/>
    <col min="3596" max="3600" width="18.7109375" style="125" customWidth="1"/>
    <col min="3601" max="3601" width="1.85546875" style="125" customWidth="1"/>
    <col min="3602" max="3602" width="3" style="125" customWidth="1"/>
    <col min="3603" max="3840" width="0" style="125" hidden="1"/>
    <col min="3841" max="3841" width="3.42578125" style="125" customWidth="1"/>
    <col min="3842" max="3843" width="3.7109375" style="125" customWidth="1"/>
    <col min="3844" max="3844" width="24" style="125" customWidth="1"/>
    <col min="3845" max="3845" width="22.85546875" style="125" customWidth="1"/>
    <col min="3846" max="3846" width="20.140625" style="125" customWidth="1"/>
    <col min="3847" max="3848" width="18.7109375" style="125" customWidth="1"/>
    <col min="3849" max="3849" width="7.7109375" style="125" customWidth="1"/>
    <col min="3850" max="3851" width="3.7109375" style="125" customWidth="1"/>
    <col min="3852" max="3856" width="18.7109375" style="125" customWidth="1"/>
    <col min="3857" max="3857" width="1.85546875" style="125" customWidth="1"/>
    <col min="3858" max="3858" width="3" style="125" customWidth="1"/>
    <col min="3859" max="4096" width="0" style="125" hidden="1"/>
    <col min="4097" max="4097" width="3.42578125" style="125" customWidth="1"/>
    <col min="4098" max="4099" width="3.7109375" style="125" customWidth="1"/>
    <col min="4100" max="4100" width="24" style="125" customWidth="1"/>
    <col min="4101" max="4101" width="22.85546875" style="125" customWidth="1"/>
    <col min="4102" max="4102" width="20.140625" style="125" customWidth="1"/>
    <col min="4103" max="4104" width="18.7109375" style="125" customWidth="1"/>
    <col min="4105" max="4105" width="7.7109375" style="125" customWidth="1"/>
    <col min="4106" max="4107" width="3.7109375" style="125" customWidth="1"/>
    <col min="4108" max="4112" width="18.7109375" style="125" customWidth="1"/>
    <col min="4113" max="4113" width="1.85546875" style="125" customWidth="1"/>
    <col min="4114" max="4114" width="3" style="125" customWidth="1"/>
    <col min="4115" max="4352" width="0" style="125" hidden="1"/>
    <col min="4353" max="4353" width="3.42578125" style="125" customWidth="1"/>
    <col min="4354" max="4355" width="3.7109375" style="125" customWidth="1"/>
    <col min="4356" max="4356" width="24" style="125" customWidth="1"/>
    <col min="4357" max="4357" width="22.85546875" style="125" customWidth="1"/>
    <col min="4358" max="4358" width="20.140625" style="125" customWidth="1"/>
    <col min="4359" max="4360" width="18.7109375" style="125" customWidth="1"/>
    <col min="4361" max="4361" width="7.7109375" style="125" customWidth="1"/>
    <col min="4362" max="4363" width="3.7109375" style="125" customWidth="1"/>
    <col min="4364" max="4368" width="18.7109375" style="125" customWidth="1"/>
    <col min="4369" max="4369" width="1.85546875" style="125" customWidth="1"/>
    <col min="4370" max="4370" width="3" style="125" customWidth="1"/>
    <col min="4371" max="4608" width="0" style="125" hidden="1"/>
    <col min="4609" max="4609" width="3.42578125" style="125" customWidth="1"/>
    <col min="4610" max="4611" width="3.7109375" style="125" customWidth="1"/>
    <col min="4612" max="4612" width="24" style="125" customWidth="1"/>
    <col min="4613" max="4613" width="22.85546875" style="125" customWidth="1"/>
    <col min="4614" max="4614" width="20.140625" style="125" customWidth="1"/>
    <col min="4615" max="4616" width="18.7109375" style="125" customWidth="1"/>
    <col min="4617" max="4617" width="7.7109375" style="125" customWidth="1"/>
    <col min="4618" max="4619" width="3.7109375" style="125" customWidth="1"/>
    <col min="4620" max="4624" width="18.7109375" style="125" customWidth="1"/>
    <col min="4625" max="4625" width="1.85546875" style="125" customWidth="1"/>
    <col min="4626" max="4626" width="3" style="125" customWidth="1"/>
    <col min="4627" max="4864" width="0" style="125" hidden="1"/>
    <col min="4865" max="4865" width="3.42578125" style="125" customWidth="1"/>
    <col min="4866" max="4867" width="3.7109375" style="125" customWidth="1"/>
    <col min="4868" max="4868" width="24" style="125" customWidth="1"/>
    <col min="4869" max="4869" width="22.85546875" style="125" customWidth="1"/>
    <col min="4870" max="4870" width="20.140625" style="125" customWidth="1"/>
    <col min="4871" max="4872" width="18.7109375" style="125" customWidth="1"/>
    <col min="4873" max="4873" width="7.7109375" style="125" customWidth="1"/>
    <col min="4874" max="4875" width="3.7109375" style="125" customWidth="1"/>
    <col min="4876" max="4880" width="18.7109375" style="125" customWidth="1"/>
    <col min="4881" max="4881" width="1.85546875" style="125" customWidth="1"/>
    <col min="4882" max="4882" width="3" style="125" customWidth="1"/>
    <col min="4883" max="5120" width="0" style="125" hidden="1"/>
    <col min="5121" max="5121" width="3.42578125" style="125" customWidth="1"/>
    <col min="5122" max="5123" width="3.7109375" style="125" customWidth="1"/>
    <col min="5124" max="5124" width="24" style="125" customWidth="1"/>
    <col min="5125" max="5125" width="22.85546875" style="125" customWidth="1"/>
    <col min="5126" max="5126" width="20.140625" style="125" customWidth="1"/>
    <col min="5127" max="5128" width="18.7109375" style="125" customWidth="1"/>
    <col min="5129" max="5129" width="7.7109375" style="125" customWidth="1"/>
    <col min="5130" max="5131" width="3.7109375" style="125" customWidth="1"/>
    <col min="5132" max="5136" width="18.7109375" style="125" customWidth="1"/>
    <col min="5137" max="5137" width="1.85546875" style="125" customWidth="1"/>
    <col min="5138" max="5138" width="3" style="125" customWidth="1"/>
    <col min="5139" max="5376" width="0" style="125" hidden="1"/>
    <col min="5377" max="5377" width="3.42578125" style="125" customWidth="1"/>
    <col min="5378" max="5379" width="3.7109375" style="125" customWidth="1"/>
    <col min="5380" max="5380" width="24" style="125" customWidth="1"/>
    <col min="5381" max="5381" width="22.85546875" style="125" customWidth="1"/>
    <col min="5382" max="5382" width="20.140625" style="125" customWidth="1"/>
    <col min="5383" max="5384" width="18.7109375" style="125" customWidth="1"/>
    <col min="5385" max="5385" width="7.7109375" style="125" customWidth="1"/>
    <col min="5386" max="5387" width="3.7109375" style="125" customWidth="1"/>
    <col min="5388" max="5392" width="18.7109375" style="125" customWidth="1"/>
    <col min="5393" max="5393" width="1.85546875" style="125" customWidth="1"/>
    <col min="5394" max="5394" width="3" style="125" customWidth="1"/>
    <col min="5395" max="5632" width="0" style="125" hidden="1"/>
    <col min="5633" max="5633" width="3.42578125" style="125" customWidth="1"/>
    <col min="5634" max="5635" width="3.7109375" style="125" customWidth="1"/>
    <col min="5636" max="5636" width="24" style="125" customWidth="1"/>
    <col min="5637" max="5637" width="22.85546875" style="125" customWidth="1"/>
    <col min="5638" max="5638" width="20.140625" style="125" customWidth="1"/>
    <col min="5639" max="5640" width="18.7109375" style="125" customWidth="1"/>
    <col min="5641" max="5641" width="7.7109375" style="125" customWidth="1"/>
    <col min="5642" max="5643" width="3.7109375" style="125" customWidth="1"/>
    <col min="5644" max="5648" width="18.7109375" style="125" customWidth="1"/>
    <col min="5649" max="5649" width="1.85546875" style="125" customWidth="1"/>
    <col min="5650" max="5650" width="3" style="125" customWidth="1"/>
    <col min="5651" max="5888" width="0" style="125" hidden="1"/>
    <col min="5889" max="5889" width="3.42578125" style="125" customWidth="1"/>
    <col min="5890" max="5891" width="3.7109375" style="125" customWidth="1"/>
    <col min="5892" max="5892" width="24" style="125" customWidth="1"/>
    <col min="5893" max="5893" width="22.85546875" style="125" customWidth="1"/>
    <col min="5894" max="5894" width="20.140625" style="125" customWidth="1"/>
    <col min="5895" max="5896" width="18.7109375" style="125" customWidth="1"/>
    <col min="5897" max="5897" width="7.7109375" style="125" customWidth="1"/>
    <col min="5898" max="5899" width="3.7109375" style="125" customWidth="1"/>
    <col min="5900" max="5904" width="18.7109375" style="125" customWidth="1"/>
    <col min="5905" max="5905" width="1.85546875" style="125" customWidth="1"/>
    <col min="5906" max="5906" width="3" style="125" customWidth="1"/>
    <col min="5907" max="6144" width="0" style="125" hidden="1"/>
    <col min="6145" max="6145" width="3.42578125" style="125" customWidth="1"/>
    <col min="6146" max="6147" width="3.7109375" style="125" customWidth="1"/>
    <col min="6148" max="6148" width="24" style="125" customWidth="1"/>
    <col min="6149" max="6149" width="22.85546875" style="125" customWidth="1"/>
    <col min="6150" max="6150" width="20.140625" style="125" customWidth="1"/>
    <col min="6151" max="6152" width="18.7109375" style="125" customWidth="1"/>
    <col min="6153" max="6153" width="7.7109375" style="125" customWidth="1"/>
    <col min="6154" max="6155" width="3.7109375" style="125" customWidth="1"/>
    <col min="6156" max="6160" width="18.7109375" style="125" customWidth="1"/>
    <col min="6161" max="6161" width="1.85546875" style="125" customWidth="1"/>
    <col min="6162" max="6162" width="3" style="125" customWidth="1"/>
    <col min="6163" max="6400" width="0" style="125" hidden="1"/>
    <col min="6401" max="6401" width="3.42578125" style="125" customWidth="1"/>
    <col min="6402" max="6403" width="3.7109375" style="125" customWidth="1"/>
    <col min="6404" max="6404" width="24" style="125" customWidth="1"/>
    <col min="6405" max="6405" width="22.85546875" style="125" customWidth="1"/>
    <col min="6406" max="6406" width="20.140625" style="125" customWidth="1"/>
    <col min="6407" max="6408" width="18.7109375" style="125" customWidth="1"/>
    <col min="6409" max="6409" width="7.7109375" style="125" customWidth="1"/>
    <col min="6410" max="6411" width="3.7109375" style="125" customWidth="1"/>
    <col min="6412" max="6416" width="18.7109375" style="125" customWidth="1"/>
    <col min="6417" max="6417" width="1.85546875" style="125" customWidth="1"/>
    <col min="6418" max="6418" width="3" style="125" customWidth="1"/>
    <col min="6419" max="6656" width="0" style="125" hidden="1"/>
    <col min="6657" max="6657" width="3.42578125" style="125" customWidth="1"/>
    <col min="6658" max="6659" width="3.7109375" style="125" customWidth="1"/>
    <col min="6660" max="6660" width="24" style="125" customWidth="1"/>
    <col min="6661" max="6661" width="22.85546875" style="125" customWidth="1"/>
    <col min="6662" max="6662" width="20.140625" style="125" customWidth="1"/>
    <col min="6663" max="6664" width="18.7109375" style="125" customWidth="1"/>
    <col min="6665" max="6665" width="7.7109375" style="125" customWidth="1"/>
    <col min="6666" max="6667" width="3.7109375" style="125" customWidth="1"/>
    <col min="6668" max="6672" width="18.7109375" style="125" customWidth="1"/>
    <col min="6673" max="6673" width="1.85546875" style="125" customWidth="1"/>
    <col min="6674" max="6674" width="3" style="125" customWidth="1"/>
    <col min="6675" max="6912" width="0" style="125" hidden="1"/>
    <col min="6913" max="6913" width="3.42578125" style="125" customWidth="1"/>
    <col min="6914" max="6915" width="3.7109375" style="125" customWidth="1"/>
    <col min="6916" max="6916" width="24" style="125" customWidth="1"/>
    <col min="6917" max="6917" width="22.85546875" style="125" customWidth="1"/>
    <col min="6918" max="6918" width="20.140625" style="125" customWidth="1"/>
    <col min="6919" max="6920" width="18.7109375" style="125" customWidth="1"/>
    <col min="6921" max="6921" width="7.7109375" style="125" customWidth="1"/>
    <col min="6922" max="6923" width="3.7109375" style="125" customWidth="1"/>
    <col min="6924" max="6928" width="18.7109375" style="125" customWidth="1"/>
    <col min="6929" max="6929" width="1.85546875" style="125" customWidth="1"/>
    <col min="6930" max="6930" width="3" style="125" customWidth="1"/>
    <col min="6931" max="7168" width="0" style="125" hidden="1"/>
    <col min="7169" max="7169" width="3.42578125" style="125" customWidth="1"/>
    <col min="7170" max="7171" width="3.7109375" style="125" customWidth="1"/>
    <col min="7172" max="7172" width="24" style="125" customWidth="1"/>
    <col min="7173" max="7173" width="22.85546875" style="125" customWidth="1"/>
    <col min="7174" max="7174" width="20.140625" style="125" customWidth="1"/>
    <col min="7175" max="7176" width="18.7109375" style="125" customWidth="1"/>
    <col min="7177" max="7177" width="7.7109375" style="125" customWidth="1"/>
    <col min="7178" max="7179" width="3.7109375" style="125" customWidth="1"/>
    <col min="7180" max="7184" width="18.7109375" style="125" customWidth="1"/>
    <col min="7185" max="7185" width="1.85546875" style="125" customWidth="1"/>
    <col min="7186" max="7186" width="3" style="125" customWidth="1"/>
    <col min="7187" max="7424" width="0" style="125" hidden="1"/>
    <col min="7425" max="7425" width="3.42578125" style="125" customWidth="1"/>
    <col min="7426" max="7427" width="3.7109375" style="125" customWidth="1"/>
    <col min="7428" max="7428" width="24" style="125" customWidth="1"/>
    <col min="7429" max="7429" width="22.85546875" style="125" customWidth="1"/>
    <col min="7430" max="7430" width="20.140625" style="125" customWidth="1"/>
    <col min="7431" max="7432" width="18.7109375" style="125" customWidth="1"/>
    <col min="7433" max="7433" width="7.7109375" style="125" customWidth="1"/>
    <col min="7434" max="7435" width="3.7109375" style="125" customWidth="1"/>
    <col min="7436" max="7440" width="18.7109375" style="125" customWidth="1"/>
    <col min="7441" max="7441" width="1.85546875" style="125" customWidth="1"/>
    <col min="7442" max="7442" width="3" style="125" customWidth="1"/>
    <col min="7443" max="7680" width="0" style="125" hidden="1"/>
    <col min="7681" max="7681" width="3.42578125" style="125" customWidth="1"/>
    <col min="7682" max="7683" width="3.7109375" style="125" customWidth="1"/>
    <col min="7684" max="7684" width="24" style="125" customWidth="1"/>
    <col min="7685" max="7685" width="22.85546875" style="125" customWidth="1"/>
    <col min="7686" max="7686" width="20.140625" style="125" customWidth="1"/>
    <col min="7687" max="7688" width="18.7109375" style="125" customWidth="1"/>
    <col min="7689" max="7689" width="7.7109375" style="125" customWidth="1"/>
    <col min="7690" max="7691" width="3.7109375" style="125" customWidth="1"/>
    <col min="7692" max="7696" width="18.7109375" style="125" customWidth="1"/>
    <col min="7697" max="7697" width="1.85546875" style="125" customWidth="1"/>
    <col min="7698" max="7698" width="3" style="125" customWidth="1"/>
    <col min="7699" max="7936" width="0" style="125" hidden="1"/>
    <col min="7937" max="7937" width="3.42578125" style="125" customWidth="1"/>
    <col min="7938" max="7939" width="3.7109375" style="125" customWidth="1"/>
    <col min="7940" max="7940" width="24" style="125" customWidth="1"/>
    <col min="7941" max="7941" width="22.85546875" style="125" customWidth="1"/>
    <col min="7942" max="7942" width="20.140625" style="125" customWidth="1"/>
    <col min="7943" max="7944" width="18.7109375" style="125" customWidth="1"/>
    <col min="7945" max="7945" width="7.7109375" style="125" customWidth="1"/>
    <col min="7946" max="7947" width="3.7109375" style="125" customWidth="1"/>
    <col min="7948" max="7952" width="18.7109375" style="125" customWidth="1"/>
    <col min="7953" max="7953" width="1.85546875" style="125" customWidth="1"/>
    <col min="7954" max="7954" width="3" style="125" customWidth="1"/>
    <col min="7955" max="8192" width="0" style="125" hidden="1"/>
    <col min="8193" max="8193" width="3.42578125" style="125" customWidth="1"/>
    <col min="8194" max="8195" width="3.7109375" style="125" customWidth="1"/>
    <col min="8196" max="8196" width="24" style="125" customWidth="1"/>
    <col min="8197" max="8197" width="22.85546875" style="125" customWidth="1"/>
    <col min="8198" max="8198" width="20.140625" style="125" customWidth="1"/>
    <col min="8199" max="8200" width="18.7109375" style="125" customWidth="1"/>
    <col min="8201" max="8201" width="7.7109375" style="125" customWidth="1"/>
    <col min="8202" max="8203" width="3.7109375" style="125" customWidth="1"/>
    <col min="8204" max="8208" width="18.7109375" style="125" customWidth="1"/>
    <col min="8209" max="8209" width="1.85546875" style="125" customWidth="1"/>
    <col min="8210" max="8210" width="3" style="125" customWidth="1"/>
    <col min="8211" max="8448" width="0" style="125" hidden="1"/>
    <col min="8449" max="8449" width="3.42578125" style="125" customWidth="1"/>
    <col min="8450" max="8451" width="3.7109375" style="125" customWidth="1"/>
    <col min="8452" max="8452" width="24" style="125" customWidth="1"/>
    <col min="8453" max="8453" width="22.85546875" style="125" customWidth="1"/>
    <col min="8454" max="8454" width="20.140625" style="125" customWidth="1"/>
    <col min="8455" max="8456" width="18.7109375" style="125" customWidth="1"/>
    <col min="8457" max="8457" width="7.7109375" style="125" customWidth="1"/>
    <col min="8458" max="8459" width="3.7109375" style="125" customWidth="1"/>
    <col min="8460" max="8464" width="18.7109375" style="125" customWidth="1"/>
    <col min="8465" max="8465" width="1.85546875" style="125" customWidth="1"/>
    <col min="8466" max="8466" width="3" style="125" customWidth="1"/>
    <col min="8467" max="8704" width="0" style="125" hidden="1"/>
    <col min="8705" max="8705" width="3.42578125" style="125" customWidth="1"/>
    <col min="8706" max="8707" width="3.7109375" style="125" customWidth="1"/>
    <col min="8708" max="8708" width="24" style="125" customWidth="1"/>
    <col min="8709" max="8709" width="22.85546875" style="125" customWidth="1"/>
    <col min="8710" max="8710" width="20.140625" style="125" customWidth="1"/>
    <col min="8711" max="8712" width="18.7109375" style="125" customWidth="1"/>
    <col min="8713" max="8713" width="7.7109375" style="125" customWidth="1"/>
    <col min="8714" max="8715" width="3.7109375" style="125" customWidth="1"/>
    <col min="8716" max="8720" width="18.7109375" style="125" customWidth="1"/>
    <col min="8721" max="8721" width="1.85546875" style="125" customWidth="1"/>
    <col min="8722" max="8722" width="3" style="125" customWidth="1"/>
    <col min="8723" max="8960" width="0" style="125" hidden="1"/>
    <col min="8961" max="8961" width="3.42578125" style="125" customWidth="1"/>
    <col min="8962" max="8963" width="3.7109375" style="125" customWidth="1"/>
    <col min="8964" max="8964" width="24" style="125" customWidth="1"/>
    <col min="8965" max="8965" width="22.85546875" style="125" customWidth="1"/>
    <col min="8966" max="8966" width="20.140625" style="125" customWidth="1"/>
    <col min="8967" max="8968" width="18.7109375" style="125" customWidth="1"/>
    <col min="8969" max="8969" width="7.7109375" style="125" customWidth="1"/>
    <col min="8970" max="8971" width="3.7109375" style="125" customWidth="1"/>
    <col min="8972" max="8976" width="18.7109375" style="125" customWidth="1"/>
    <col min="8977" max="8977" width="1.85546875" style="125" customWidth="1"/>
    <col min="8978" max="8978" width="3" style="125" customWidth="1"/>
    <col min="8979" max="9216" width="0" style="125" hidden="1"/>
    <col min="9217" max="9217" width="3.42578125" style="125" customWidth="1"/>
    <col min="9218" max="9219" width="3.7109375" style="125" customWidth="1"/>
    <col min="9220" max="9220" width="24" style="125" customWidth="1"/>
    <col min="9221" max="9221" width="22.85546875" style="125" customWidth="1"/>
    <col min="9222" max="9222" width="20.140625" style="125" customWidth="1"/>
    <col min="9223" max="9224" width="18.7109375" style="125" customWidth="1"/>
    <col min="9225" max="9225" width="7.7109375" style="125" customWidth="1"/>
    <col min="9226" max="9227" width="3.7109375" style="125" customWidth="1"/>
    <col min="9228" max="9232" width="18.7109375" style="125" customWidth="1"/>
    <col min="9233" max="9233" width="1.85546875" style="125" customWidth="1"/>
    <col min="9234" max="9234" width="3" style="125" customWidth="1"/>
    <col min="9235" max="9472" width="0" style="125" hidden="1"/>
    <col min="9473" max="9473" width="3.42578125" style="125" customWidth="1"/>
    <col min="9474" max="9475" width="3.7109375" style="125" customWidth="1"/>
    <col min="9476" max="9476" width="24" style="125" customWidth="1"/>
    <col min="9477" max="9477" width="22.85546875" style="125" customWidth="1"/>
    <col min="9478" max="9478" width="20.140625" style="125" customWidth="1"/>
    <col min="9479" max="9480" width="18.7109375" style="125" customWidth="1"/>
    <col min="9481" max="9481" width="7.7109375" style="125" customWidth="1"/>
    <col min="9482" max="9483" width="3.7109375" style="125" customWidth="1"/>
    <col min="9484" max="9488" width="18.7109375" style="125" customWidth="1"/>
    <col min="9489" max="9489" width="1.85546875" style="125" customWidth="1"/>
    <col min="9490" max="9490" width="3" style="125" customWidth="1"/>
    <col min="9491" max="9728" width="0" style="125" hidden="1"/>
    <col min="9729" max="9729" width="3.42578125" style="125" customWidth="1"/>
    <col min="9730" max="9731" width="3.7109375" style="125" customWidth="1"/>
    <col min="9732" max="9732" width="24" style="125" customWidth="1"/>
    <col min="9733" max="9733" width="22.85546875" style="125" customWidth="1"/>
    <col min="9734" max="9734" width="20.140625" style="125" customWidth="1"/>
    <col min="9735" max="9736" width="18.7109375" style="125" customWidth="1"/>
    <col min="9737" max="9737" width="7.7109375" style="125" customWidth="1"/>
    <col min="9738" max="9739" width="3.7109375" style="125" customWidth="1"/>
    <col min="9740" max="9744" width="18.7109375" style="125" customWidth="1"/>
    <col min="9745" max="9745" width="1.85546875" style="125" customWidth="1"/>
    <col min="9746" max="9746" width="3" style="125" customWidth="1"/>
    <col min="9747" max="9984" width="0" style="125" hidden="1"/>
    <col min="9985" max="9985" width="3.42578125" style="125" customWidth="1"/>
    <col min="9986" max="9987" width="3.7109375" style="125" customWidth="1"/>
    <col min="9988" max="9988" width="24" style="125" customWidth="1"/>
    <col min="9989" max="9989" width="22.85546875" style="125" customWidth="1"/>
    <col min="9990" max="9990" width="20.140625" style="125" customWidth="1"/>
    <col min="9991" max="9992" width="18.7109375" style="125" customWidth="1"/>
    <col min="9993" max="9993" width="7.7109375" style="125" customWidth="1"/>
    <col min="9994" max="9995" width="3.7109375" style="125" customWidth="1"/>
    <col min="9996" max="10000" width="18.7109375" style="125" customWidth="1"/>
    <col min="10001" max="10001" width="1.85546875" style="125" customWidth="1"/>
    <col min="10002" max="10002" width="3" style="125" customWidth="1"/>
    <col min="10003" max="10240" width="0" style="125" hidden="1"/>
    <col min="10241" max="10241" width="3.42578125" style="125" customWidth="1"/>
    <col min="10242" max="10243" width="3.7109375" style="125" customWidth="1"/>
    <col min="10244" max="10244" width="24" style="125" customWidth="1"/>
    <col min="10245" max="10245" width="22.85546875" style="125" customWidth="1"/>
    <col min="10246" max="10246" width="20.140625" style="125" customWidth="1"/>
    <col min="10247" max="10248" width="18.7109375" style="125" customWidth="1"/>
    <col min="10249" max="10249" width="7.7109375" style="125" customWidth="1"/>
    <col min="10250" max="10251" width="3.7109375" style="125" customWidth="1"/>
    <col min="10252" max="10256" width="18.7109375" style="125" customWidth="1"/>
    <col min="10257" max="10257" width="1.85546875" style="125" customWidth="1"/>
    <col min="10258" max="10258" width="3" style="125" customWidth="1"/>
    <col min="10259" max="10496" width="0" style="125" hidden="1"/>
    <col min="10497" max="10497" width="3.42578125" style="125" customWidth="1"/>
    <col min="10498" max="10499" width="3.7109375" style="125" customWidth="1"/>
    <col min="10500" max="10500" width="24" style="125" customWidth="1"/>
    <col min="10501" max="10501" width="22.85546875" style="125" customWidth="1"/>
    <col min="10502" max="10502" width="20.140625" style="125" customWidth="1"/>
    <col min="10503" max="10504" width="18.7109375" style="125" customWidth="1"/>
    <col min="10505" max="10505" width="7.7109375" style="125" customWidth="1"/>
    <col min="10506" max="10507" width="3.7109375" style="125" customWidth="1"/>
    <col min="10508" max="10512" width="18.7109375" style="125" customWidth="1"/>
    <col min="10513" max="10513" width="1.85546875" style="125" customWidth="1"/>
    <col min="10514" max="10514" width="3" style="125" customWidth="1"/>
    <col min="10515" max="10752" width="0" style="125" hidden="1"/>
    <col min="10753" max="10753" width="3.42578125" style="125" customWidth="1"/>
    <col min="10754" max="10755" width="3.7109375" style="125" customWidth="1"/>
    <col min="10756" max="10756" width="24" style="125" customWidth="1"/>
    <col min="10757" max="10757" width="22.85546875" style="125" customWidth="1"/>
    <col min="10758" max="10758" width="20.140625" style="125" customWidth="1"/>
    <col min="10759" max="10760" width="18.7109375" style="125" customWidth="1"/>
    <col min="10761" max="10761" width="7.7109375" style="125" customWidth="1"/>
    <col min="10762" max="10763" width="3.7109375" style="125" customWidth="1"/>
    <col min="10764" max="10768" width="18.7109375" style="125" customWidth="1"/>
    <col min="10769" max="10769" width="1.85546875" style="125" customWidth="1"/>
    <col min="10770" max="10770" width="3" style="125" customWidth="1"/>
    <col min="10771" max="11008" width="0" style="125" hidden="1"/>
    <col min="11009" max="11009" width="3.42578125" style="125" customWidth="1"/>
    <col min="11010" max="11011" width="3.7109375" style="125" customWidth="1"/>
    <col min="11012" max="11012" width="24" style="125" customWidth="1"/>
    <col min="11013" max="11013" width="22.85546875" style="125" customWidth="1"/>
    <col min="11014" max="11014" width="20.140625" style="125" customWidth="1"/>
    <col min="11015" max="11016" width="18.7109375" style="125" customWidth="1"/>
    <col min="11017" max="11017" width="7.7109375" style="125" customWidth="1"/>
    <col min="11018" max="11019" width="3.7109375" style="125" customWidth="1"/>
    <col min="11020" max="11024" width="18.7109375" style="125" customWidth="1"/>
    <col min="11025" max="11025" width="1.85546875" style="125" customWidth="1"/>
    <col min="11026" max="11026" width="3" style="125" customWidth="1"/>
    <col min="11027" max="11264" width="0" style="125" hidden="1"/>
    <col min="11265" max="11265" width="3.42578125" style="125" customWidth="1"/>
    <col min="11266" max="11267" width="3.7109375" style="125" customWidth="1"/>
    <col min="11268" max="11268" width="24" style="125" customWidth="1"/>
    <col min="11269" max="11269" width="22.85546875" style="125" customWidth="1"/>
    <col min="11270" max="11270" width="20.140625" style="125" customWidth="1"/>
    <col min="11271" max="11272" width="18.7109375" style="125" customWidth="1"/>
    <col min="11273" max="11273" width="7.7109375" style="125" customWidth="1"/>
    <col min="11274" max="11275" width="3.7109375" style="125" customWidth="1"/>
    <col min="11276" max="11280" width="18.7109375" style="125" customWidth="1"/>
    <col min="11281" max="11281" width="1.85546875" style="125" customWidth="1"/>
    <col min="11282" max="11282" width="3" style="125" customWidth="1"/>
    <col min="11283" max="11520" width="0" style="125" hidden="1"/>
    <col min="11521" max="11521" width="3.42578125" style="125" customWidth="1"/>
    <col min="11522" max="11523" width="3.7109375" style="125" customWidth="1"/>
    <col min="11524" max="11524" width="24" style="125" customWidth="1"/>
    <col min="11525" max="11525" width="22.85546875" style="125" customWidth="1"/>
    <col min="11526" max="11526" width="20.140625" style="125" customWidth="1"/>
    <col min="11527" max="11528" width="18.7109375" style="125" customWidth="1"/>
    <col min="11529" max="11529" width="7.7109375" style="125" customWidth="1"/>
    <col min="11530" max="11531" width="3.7109375" style="125" customWidth="1"/>
    <col min="11532" max="11536" width="18.7109375" style="125" customWidth="1"/>
    <col min="11537" max="11537" width="1.85546875" style="125" customWidth="1"/>
    <col min="11538" max="11538" width="3" style="125" customWidth="1"/>
    <col min="11539" max="11776" width="0" style="125" hidden="1"/>
    <col min="11777" max="11777" width="3.42578125" style="125" customWidth="1"/>
    <col min="11778" max="11779" width="3.7109375" style="125" customWidth="1"/>
    <col min="11780" max="11780" width="24" style="125" customWidth="1"/>
    <col min="11781" max="11781" width="22.85546875" style="125" customWidth="1"/>
    <col min="11782" max="11782" width="20.140625" style="125" customWidth="1"/>
    <col min="11783" max="11784" width="18.7109375" style="125" customWidth="1"/>
    <col min="11785" max="11785" width="7.7109375" style="125" customWidth="1"/>
    <col min="11786" max="11787" width="3.7109375" style="125" customWidth="1"/>
    <col min="11788" max="11792" width="18.7109375" style="125" customWidth="1"/>
    <col min="11793" max="11793" width="1.85546875" style="125" customWidth="1"/>
    <col min="11794" max="11794" width="3" style="125" customWidth="1"/>
    <col min="11795" max="12032" width="0" style="125" hidden="1"/>
    <col min="12033" max="12033" width="3.42578125" style="125" customWidth="1"/>
    <col min="12034" max="12035" width="3.7109375" style="125" customWidth="1"/>
    <col min="12036" max="12036" width="24" style="125" customWidth="1"/>
    <col min="12037" max="12037" width="22.85546875" style="125" customWidth="1"/>
    <col min="12038" max="12038" width="20.140625" style="125" customWidth="1"/>
    <col min="12039" max="12040" width="18.7109375" style="125" customWidth="1"/>
    <col min="12041" max="12041" width="7.7109375" style="125" customWidth="1"/>
    <col min="12042" max="12043" width="3.7109375" style="125" customWidth="1"/>
    <col min="12044" max="12048" width="18.7109375" style="125" customWidth="1"/>
    <col min="12049" max="12049" width="1.85546875" style="125" customWidth="1"/>
    <col min="12050" max="12050" width="3" style="125" customWidth="1"/>
    <col min="12051" max="12288" width="0" style="125" hidden="1"/>
    <col min="12289" max="12289" width="3.42578125" style="125" customWidth="1"/>
    <col min="12290" max="12291" width="3.7109375" style="125" customWidth="1"/>
    <col min="12292" max="12292" width="24" style="125" customWidth="1"/>
    <col min="12293" max="12293" width="22.85546875" style="125" customWidth="1"/>
    <col min="12294" max="12294" width="20.140625" style="125" customWidth="1"/>
    <col min="12295" max="12296" width="18.7109375" style="125" customWidth="1"/>
    <col min="12297" max="12297" width="7.7109375" style="125" customWidth="1"/>
    <col min="12298" max="12299" width="3.7109375" style="125" customWidth="1"/>
    <col min="12300" max="12304" width="18.7109375" style="125" customWidth="1"/>
    <col min="12305" max="12305" width="1.85546875" style="125" customWidth="1"/>
    <col min="12306" max="12306" width="3" style="125" customWidth="1"/>
    <col min="12307" max="12544" width="0" style="125" hidden="1"/>
    <col min="12545" max="12545" width="3.42578125" style="125" customWidth="1"/>
    <col min="12546" max="12547" width="3.7109375" style="125" customWidth="1"/>
    <col min="12548" max="12548" width="24" style="125" customWidth="1"/>
    <col min="12549" max="12549" width="22.85546875" style="125" customWidth="1"/>
    <col min="12550" max="12550" width="20.140625" style="125" customWidth="1"/>
    <col min="12551" max="12552" width="18.7109375" style="125" customWidth="1"/>
    <col min="12553" max="12553" width="7.7109375" style="125" customWidth="1"/>
    <col min="12554" max="12555" width="3.7109375" style="125" customWidth="1"/>
    <col min="12556" max="12560" width="18.7109375" style="125" customWidth="1"/>
    <col min="12561" max="12561" width="1.85546875" style="125" customWidth="1"/>
    <col min="12562" max="12562" width="3" style="125" customWidth="1"/>
    <col min="12563" max="12800" width="0" style="125" hidden="1"/>
    <col min="12801" max="12801" width="3.42578125" style="125" customWidth="1"/>
    <col min="12802" max="12803" width="3.7109375" style="125" customWidth="1"/>
    <col min="12804" max="12804" width="24" style="125" customWidth="1"/>
    <col min="12805" max="12805" width="22.85546875" style="125" customWidth="1"/>
    <col min="12806" max="12806" width="20.140625" style="125" customWidth="1"/>
    <col min="12807" max="12808" width="18.7109375" style="125" customWidth="1"/>
    <col min="12809" max="12809" width="7.7109375" style="125" customWidth="1"/>
    <col min="12810" max="12811" width="3.7109375" style="125" customWidth="1"/>
    <col min="12812" max="12816" width="18.7109375" style="125" customWidth="1"/>
    <col min="12817" max="12817" width="1.85546875" style="125" customWidth="1"/>
    <col min="12818" max="12818" width="3" style="125" customWidth="1"/>
    <col min="12819" max="13056" width="0" style="125" hidden="1"/>
    <col min="13057" max="13057" width="3.42578125" style="125" customWidth="1"/>
    <col min="13058" max="13059" width="3.7109375" style="125" customWidth="1"/>
    <col min="13060" max="13060" width="24" style="125" customWidth="1"/>
    <col min="13061" max="13061" width="22.85546875" style="125" customWidth="1"/>
    <col min="13062" max="13062" width="20.140625" style="125" customWidth="1"/>
    <col min="13063" max="13064" width="18.7109375" style="125" customWidth="1"/>
    <col min="13065" max="13065" width="7.7109375" style="125" customWidth="1"/>
    <col min="13066" max="13067" width="3.7109375" style="125" customWidth="1"/>
    <col min="13068" max="13072" width="18.7109375" style="125" customWidth="1"/>
    <col min="13073" max="13073" width="1.85546875" style="125" customWidth="1"/>
    <col min="13074" max="13074" width="3" style="125" customWidth="1"/>
    <col min="13075" max="13312" width="0" style="125" hidden="1"/>
    <col min="13313" max="13313" width="3.42578125" style="125" customWidth="1"/>
    <col min="13314" max="13315" width="3.7109375" style="125" customWidth="1"/>
    <col min="13316" max="13316" width="24" style="125" customWidth="1"/>
    <col min="13317" max="13317" width="22.85546875" style="125" customWidth="1"/>
    <col min="13318" max="13318" width="20.140625" style="125" customWidth="1"/>
    <col min="13319" max="13320" width="18.7109375" style="125" customWidth="1"/>
    <col min="13321" max="13321" width="7.7109375" style="125" customWidth="1"/>
    <col min="13322" max="13323" width="3.7109375" style="125" customWidth="1"/>
    <col min="13324" max="13328" width="18.7109375" style="125" customWidth="1"/>
    <col min="13329" max="13329" width="1.85546875" style="125" customWidth="1"/>
    <col min="13330" max="13330" width="3" style="125" customWidth="1"/>
    <col min="13331" max="13568" width="0" style="125" hidden="1"/>
    <col min="13569" max="13569" width="3.42578125" style="125" customWidth="1"/>
    <col min="13570" max="13571" width="3.7109375" style="125" customWidth="1"/>
    <col min="13572" max="13572" width="24" style="125" customWidth="1"/>
    <col min="13573" max="13573" width="22.85546875" style="125" customWidth="1"/>
    <col min="13574" max="13574" width="20.140625" style="125" customWidth="1"/>
    <col min="13575" max="13576" width="18.7109375" style="125" customWidth="1"/>
    <col min="13577" max="13577" width="7.7109375" style="125" customWidth="1"/>
    <col min="13578" max="13579" width="3.7109375" style="125" customWidth="1"/>
    <col min="13580" max="13584" width="18.7109375" style="125" customWidth="1"/>
    <col min="13585" max="13585" width="1.85546875" style="125" customWidth="1"/>
    <col min="13586" max="13586" width="3" style="125" customWidth="1"/>
    <col min="13587" max="13824" width="0" style="125" hidden="1"/>
    <col min="13825" max="13825" width="3.42578125" style="125" customWidth="1"/>
    <col min="13826" max="13827" width="3.7109375" style="125" customWidth="1"/>
    <col min="13828" max="13828" width="24" style="125" customWidth="1"/>
    <col min="13829" max="13829" width="22.85546875" style="125" customWidth="1"/>
    <col min="13830" max="13830" width="20.140625" style="125" customWidth="1"/>
    <col min="13831" max="13832" width="18.7109375" style="125" customWidth="1"/>
    <col min="13833" max="13833" width="7.7109375" style="125" customWidth="1"/>
    <col min="13834" max="13835" width="3.7109375" style="125" customWidth="1"/>
    <col min="13836" max="13840" width="18.7109375" style="125" customWidth="1"/>
    <col min="13841" max="13841" width="1.85546875" style="125" customWidth="1"/>
    <col min="13842" max="13842" width="3" style="125" customWidth="1"/>
    <col min="13843" max="14080" width="0" style="125" hidden="1"/>
    <col min="14081" max="14081" width="3.42578125" style="125" customWidth="1"/>
    <col min="14082" max="14083" width="3.7109375" style="125" customWidth="1"/>
    <col min="14084" max="14084" width="24" style="125" customWidth="1"/>
    <col min="14085" max="14085" width="22.85546875" style="125" customWidth="1"/>
    <col min="14086" max="14086" width="20.140625" style="125" customWidth="1"/>
    <col min="14087" max="14088" width="18.7109375" style="125" customWidth="1"/>
    <col min="14089" max="14089" width="7.7109375" style="125" customWidth="1"/>
    <col min="14090" max="14091" width="3.7109375" style="125" customWidth="1"/>
    <col min="14092" max="14096" width="18.7109375" style="125" customWidth="1"/>
    <col min="14097" max="14097" width="1.85546875" style="125" customWidth="1"/>
    <col min="14098" max="14098" width="3" style="125" customWidth="1"/>
    <col min="14099" max="14336" width="0" style="125" hidden="1"/>
    <col min="14337" max="14337" width="3.42578125" style="125" customWidth="1"/>
    <col min="14338" max="14339" width="3.7109375" style="125" customWidth="1"/>
    <col min="14340" max="14340" width="24" style="125" customWidth="1"/>
    <col min="14341" max="14341" width="22.85546875" style="125" customWidth="1"/>
    <col min="14342" max="14342" width="20.140625" style="125" customWidth="1"/>
    <col min="14343" max="14344" width="18.7109375" style="125" customWidth="1"/>
    <col min="14345" max="14345" width="7.7109375" style="125" customWidth="1"/>
    <col min="14346" max="14347" width="3.7109375" style="125" customWidth="1"/>
    <col min="14348" max="14352" width="18.7109375" style="125" customWidth="1"/>
    <col min="14353" max="14353" width="1.85546875" style="125" customWidth="1"/>
    <col min="14354" max="14354" width="3" style="125" customWidth="1"/>
    <col min="14355" max="14592" width="0" style="125" hidden="1"/>
    <col min="14593" max="14593" width="3.42578125" style="125" customWidth="1"/>
    <col min="14594" max="14595" width="3.7109375" style="125" customWidth="1"/>
    <col min="14596" max="14596" width="24" style="125" customWidth="1"/>
    <col min="14597" max="14597" width="22.85546875" style="125" customWidth="1"/>
    <col min="14598" max="14598" width="20.140625" style="125" customWidth="1"/>
    <col min="14599" max="14600" width="18.7109375" style="125" customWidth="1"/>
    <col min="14601" max="14601" width="7.7109375" style="125" customWidth="1"/>
    <col min="14602" max="14603" width="3.7109375" style="125" customWidth="1"/>
    <col min="14604" max="14608" width="18.7109375" style="125" customWidth="1"/>
    <col min="14609" max="14609" width="1.85546875" style="125" customWidth="1"/>
    <col min="14610" max="14610" width="3" style="125" customWidth="1"/>
    <col min="14611" max="14848" width="0" style="125" hidden="1"/>
    <col min="14849" max="14849" width="3.42578125" style="125" customWidth="1"/>
    <col min="14850" max="14851" width="3.7109375" style="125" customWidth="1"/>
    <col min="14852" max="14852" width="24" style="125" customWidth="1"/>
    <col min="14853" max="14853" width="22.85546875" style="125" customWidth="1"/>
    <col min="14854" max="14854" width="20.140625" style="125" customWidth="1"/>
    <col min="14855" max="14856" width="18.7109375" style="125" customWidth="1"/>
    <col min="14857" max="14857" width="7.7109375" style="125" customWidth="1"/>
    <col min="14858" max="14859" width="3.7109375" style="125" customWidth="1"/>
    <col min="14860" max="14864" width="18.7109375" style="125" customWidth="1"/>
    <col min="14865" max="14865" width="1.85546875" style="125" customWidth="1"/>
    <col min="14866" max="14866" width="3" style="125" customWidth="1"/>
    <col min="14867" max="15104" width="0" style="125" hidden="1"/>
    <col min="15105" max="15105" width="3.42578125" style="125" customWidth="1"/>
    <col min="15106" max="15107" width="3.7109375" style="125" customWidth="1"/>
    <col min="15108" max="15108" width="24" style="125" customWidth="1"/>
    <col min="15109" max="15109" width="22.85546875" style="125" customWidth="1"/>
    <col min="15110" max="15110" width="20.140625" style="125" customWidth="1"/>
    <col min="15111" max="15112" width="18.7109375" style="125" customWidth="1"/>
    <col min="15113" max="15113" width="7.7109375" style="125" customWidth="1"/>
    <col min="15114" max="15115" width="3.7109375" style="125" customWidth="1"/>
    <col min="15116" max="15120" width="18.7109375" style="125" customWidth="1"/>
    <col min="15121" max="15121" width="1.85546875" style="125" customWidth="1"/>
    <col min="15122" max="15122" width="3" style="125" customWidth="1"/>
    <col min="15123" max="15360" width="0" style="125" hidden="1"/>
    <col min="15361" max="15361" width="3.42578125" style="125" customWidth="1"/>
    <col min="15362" max="15363" width="3.7109375" style="125" customWidth="1"/>
    <col min="15364" max="15364" width="24" style="125" customWidth="1"/>
    <col min="15365" max="15365" width="22.85546875" style="125" customWidth="1"/>
    <col min="15366" max="15366" width="20.140625" style="125" customWidth="1"/>
    <col min="15367" max="15368" width="18.7109375" style="125" customWidth="1"/>
    <col min="15369" max="15369" width="7.7109375" style="125" customWidth="1"/>
    <col min="15370" max="15371" width="3.7109375" style="125" customWidth="1"/>
    <col min="15372" max="15376" width="18.7109375" style="125" customWidth="1"/>
    <col min="15377" max="15377" width="1.85546875" style="125" customWidth="1"/>
    <col min="15378" max="15378" width="3" style="125" customWidth="1"/>
    <col min="15379" max="15616" width="0" style="125" hidden="1"/>
    <col min="15617" max="15617" width="3.42578125" style="125" customWidth="1"/>
    <col min="15618" max="15619" width="3.7109375" style="125" customWidth="1"/>
    <col min="15620" max="15620" width="24" style="125" customWidth="1"/>
    <col min="15621" max="15621" width="22.85546875" style="125" customWidth="1"/>
    <col min="15622" max="15622" width="20.140625" style="125" customWidth="1"/>
    <col min="15623" max="15624" width="18.7109375" style="125" customWidth="1"/>
    <col min="15625" max="15625" width="7.7109375" style="125" customWidth="1"/>
    <col min="15626" max="15627" width="3.7109375" style="125" customWidth="1"/>
    <col min="15628" max="15632" width="18.7109375" style="125" customWidth="1"/>
    <col min="15633" max="15633" width="1.85546875" style="125" customWidth="1"/>
    <col min="15634" max="15634" width="3" style="125" customWidth="1"/>
    <col min="15635" max="15872" width="0" style="125" hidden="1"/>
    <col min="15873" max="15873" width="3.42578125" style="125" customWidth="1"/>
    <col min="15874" max="15875" width="3.7109375" style="125" customWidth="1"/>
    <col min="15876" max="15876" width="24" style="125" customWidth="1"/>
    <col min="15877" max="15877" width="22.85546875" style="125" customWidth="1"/>
    <col min="15878" max="15878" width="20.140625" style="125" customWidth="1"/>
    <col min="15879" max="15880" width="18.7109375" style="125" customWidth="1"/>
    <col min="15881" max="15881" width="7.7109375" style="125" customWidth="1"/>
    <col min="15882" max="15883" width="3.7109375" style="125" customWidth="1"/>
    <col min="15884" max="15888" width="18.7109375" style="125" customWidth="1"/>
    <col min="15889" max="15889" width="1.85546875" style="125" customWidth="1"/>
    <col min="15890" max="15890" width="3" style="125" customWidth="1"/>
    <col min="15891" max="16128" width="0" style="125" hidden="1"/>
    <col min="16129" max="16129" width="3.42578125" style="125" customWidth="1"/>
    <col min="16130" max="16131" width="3.7109375" style="125" customWidth="1"/>
    <col min="16132" max="16132" width="24" style="125" customWidth="1"/>
    <col min="16133" max="16133" width="22.85546875" style="125" customWidth="1"/>
    <col min="16134" max="16134" width="20.140625" style="125" customWidth="1"/>
    <col min="16135" max="16136" width="18.7109375" style="125" customWidth="1"/>
    <col min="16137" max="16137" width="7.7109375" style="125" customWidth="1"/>
    <col min="16138" max="16139" width="3.7109375" style="125" customWidth="1"/>
    <col min="16140" max="16144" width="18.7109375" style="125" customWidth="1"/>
    <col min="16145" max="16145" width="1.85546875" style="125" customWidth="1"/>
    <col min="16146" max="16146" width="3" style="125" customWidth="1"/>
    <col min="16147" max="16384" width="0" style="125" hidden="1"/>
  </cols>
  <sheetData>
    <row r="1" spans="1:17"/>
    <row r="2" spans="1:17" s="49" customFormat="1">
      <c r="B2" s="50"/>
      <c r="C2" s="50"/>
      <c r="D2" s="50"/>
      <c r="E2" s="533" t="s">
        <v>412</v>
      </c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0"/>
      <c r="Q2" s="50"/>
    </row>
    <row r="3" spans="1:17">
      <c r="B3" s="50"/>
      <c r="C3" s="50"/>
      <c r="D3" s="50"/>
      <c r="E3" s="533" t="s">
        <v>137</v>
      </c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0"/>
      <c r="Q3" s="50"/>
    </row>
    <row r="4" spans="1:17">
      <c r="B4" s="50"/>
      <c r="C4" s="50"/>
      <c r="D4" s="50"/>
      <c r="E4" s="533" t="s">
        <v>424</v>
      </c>
      <c r="F4" s="533"/>
      <c r="G4" s="533"/>
      <c r="H4" s="533"/>
      <c r="I4" s="533"/>
      <c r="J4" s="533"/>
      <c r="K4" s="533"/>
      <c r="L4" s="533"/>
      <c r="M4" s="533"/>
      <c r="N4" s="533"/>
      <c r="O4" s="533"/>
      <c r="P4" s="50"/>
      <c r="Q4" s="50"/>
    </row>
    <row r="5" spans="1:17">
      <c r="B5" s="50"/>
      <c r="C5" s="50"/>
      <c r="D5" s="50"/>
      <c r="E5" s="533" t="s">
        <v>2</v>
      </c>
      <c r="F5" s="533"/>
      <c r="G5" s="533"/>
      <c r="H5" s="533"/>
      <c r="I5" s="533"/>
      <c r="J5" s="533"/>
      <c r="K5" s="533"/>
      <c r="L5" s="533"/>
      <c r="M5" s="533"/>
      <c r="N5" s="533"/>
      <c r="O5" s="533"/>
      <c r="P5" s="50"/>
      <c r="Q5" s="50"/>
    </row>
    <row r="6" spans="1:17">
      <c r="C6" s="126"/>
      <c r="D6" s="127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50"/>
      <c r="P6" s="49"/>
      <c r="Q6" s="49"/>
    </row>
    <row r="7" spans="1:17">
      <c r="A7" s="101"/>
      <c r="B7" s="542" t="s">
        <v>3</v>
      </c>
      <c r="C7" s="542"/>
      <c r="D7" s="542"/>
      <c r="E7" s="525" t="s">
        <v>421</v>
      </c>
      <c r="F7" s="525"/>
      <c r="G7" s="525"/>
      <c r="H7" s="525"/>
      <c r="I7" s="525"/>
      <c r="J7" s="525"/>
      <c r="K7" s="525"/>
      <c r="L7" s="525"/>
      <c r="M7" s="525"/>
      <c r="N7" s="525"/>
      <c r="O7" s="525"/>
      <c r="P7" s="128"/>
      <c r="Q7" s="49"/>
    </row>
    <row r="8" spans="1:17" s="49" customFormat="1">
      <c r="A8" s="54"/>
      <c r="B8" s="126"/>
      <c r="C8" s="126"/>
      <c r="D8" s="127"/>
      <c r="E8" s="126"/>
      <c r="F8" s="126"/>
      <c r="G8" s="129"/>
      <c r="H8" s="129"/>
      <c r="I8" s="127"/>
    </row>
    <row r="9" spans="1:17" s="49" customFormat="1">
      <c r="A9" s="54"/>
      <c r="B9" s="54"/>
      <c r="C9" s="130"/>
      <c r="D9" s="127"/>
      <c r="E9" s="130"/>
      <c r="F9" s="130"/>
      <c r="G9" s="131"/>
      <c r="H9" s="131"/>
      <c r="I9" s="127"/>
    </row>
    <row r="10" spans="1:17" s="49" customFormat="1">
      <c r="A10" s="132"/>
      <c r="B10" s="548" t="s">
        <v>67</v>
      </c>
      <c r="C10" s="549"/>
      <c r="D10" s="549"/>
      <c r="E10" s="549"/>
      <c r="F10" s="418"/>
      <c r="G10" s="98">
        <v>2015</v>
      </c>
      <c r="H10" s="98">
        <v>2014</v>
      </c>
      <c r="I10" s="150"/>
      <c r="J10" s="549" t="s">
        <v>67</v>
      </c>
      <c r="K10" s="549"/>
      <c r="L10" s="549"/>
      <c r="M10" s="549"/>
      <c r="N10" s="418"/>
      <c r="O10" s="98">
        <v>2015</v>
      </c>
      <c r="P10" s="98">
        <v>2014</v>
      </c>
      <c r="Q10" s="151"/>
    </row>
    <row r="11" spans="1:17" s="49" customFormat="1">
      <c r="A11" s="54"/>
      <c r="B11" s="58"/>
      <c r="C11" s="54"/>
      <c r="D11" s="59"/>
      <c r="E11" s="59"/>
      <c r="F11" s="59"/>
      <c r="G11" s="133"/>
      <c r="H11" s="133"/>
      <c r="I11" s="54"/>
      <c r="Q11" s="61"/>
    </row>
    <row r="12" spans="1:17" s="49" customFormat="1">
      <c r="A12" s="64"/>
      <c r="B12" s="105"/>
      <c r="C12" s="134"/>
      <c r="D12" s="134"/>
      <c r="E12" s="134"/>
      <c r="F12" s="134"/>
      <c r="G12" s="133"/>
      <c r="H12" s="133"/>
      <c r="I12" s="64"/>
      <c r="Q12" s="61"/>
    </row>
    <row r="13" spans="1:17">
      <c r="A13" s="64"/>
      <c r="B13" s="550" t="s">
        <v>138</v>
      </c>
      <c r="C13" s="551"/>
      <c r="D13" s="551"/>
      <c r="E13" s="551"/>
      <c r="F13" s="551"/>
      <c r="G13" s="133"/>
      <c r="H13" s="133"/>
      <c r="I13" s="64"/>
      <c r="J13" s="551" t="s">
        <v>139</v>
      </c>
      <c r="K13" s="551"/>
      <c r="L13" s="551"/>
      <c r="M13" s="551"/>
      <c r="N13" s="551"/>
      <c r="O13" s="135"/>
      <c r="P13" s="135"/>
      <c r="Q13" s="61"/>
    </row>
    <row r="14" spans="1:17">
      <c r="A14" s="64"/>
      <c r="B14" s="105"/>
      <c r="C14" s="134"/>
      <c r="D14" s="64"/>
      <c r="E14" s="134"/>
      <c r="F14" s="134"/>
      <c r="G14" s="133"/>
      <c r="H14" s="133"/>
      <c r="I14" s="64"/>
      <c r="J14" s="64"/>
      <c r="K14" s="134"/>
      <c r="L14" s="134"/>
      <c r="M14" s="134"/>
      <c r="N14" s="134"/>
      <c r="O14" s="135"/>
      <c r="P14" s="135"/>
      <c r="Q14" s="61"/>
    </row>
    <row r="15" spans="1:17">
      <c r="A15" s="64"/>
      <c r="B15" s="105"/>
      <c r="C15" s="551" t="s">
        <v>140</v>
      </c>
      <c r="D15" s="551"/>
      <c r="E15" s="551"/>
      <c r="F15" s="551"/>
      <c r="G15" s="136">
        <f>SUM(G16:G26)</f>
        <v>32775721.850000001</v>
      </c>
      <c r="H15" s="136">
        <f>SUM(H16:H26)</f>
        <v>0</v>
      </c>
      <c r="I15" s="64"/>
      <c r="J15" s="64"/>
      <c r="K15" s="551" t="s">
        <v>140</v>
      </c>
      <c r="L15" s="551"/>
      <c r="M15" s="551"/>
      <c r="N15" s="551"/>
      <c r="O15" s="136">
        <f>SUM(O16:O18)</f>
        <v>0</v>
      </c>
      <c r="P15" s="136">
        <f>SUM(P16:P18)</f>
        <v>0</v>
      </c>
      <c r="Q15" s="61"/>
    </row>
    <row r="16" spans="1:17">
      <c r="A16" s="64"/>
      <c r="B16" s="105"/>
      <c r="C16" s="134"/>
      <c r="D16" s="552" t="s">
        <v>72</v>
      </c>
      <c r="E16" s="552"/>
      <c r="F16" s="552"/>
      <c r="G16" s="137">
        <v>0</v>
      </c>
      <c r="H16" s="137">
        <v>0</v>
      </c>
      <c r="I16" s="64"/>
      <c r="J16" s="64"/>
      <c r="K16" s="49"/>
      <c r="L16" s="553" t="s">
        <v>34</v>
      </c>
      <c r="M16" s="553"/>
      <c r="N16" s="553"/>
      <c r="O16" s="137">
        <v>0</v>
      </c>
      <c r="P16" s="137">
        <v>0</v>
      </c>
      <c r="Q16" s="61"/>
    </row>
    <row r="17" spans="1:17">
      <c r="A17" s="64"/>
      <c r="B17" s="105"/>
      <c r="C17" s="134"/>
      <c r="D17" s="552" t="s">
        <v>141</v>
      </c>
      <c r="E17" s="552"/>
      <c r="F17" s="552"/>
      <c r="G17" s="137">
        <v>0</v>
      </c>
      <c r="H17" s="137">
        <v>0</v>
      </c>
      <c r="I17" s="64"/>
      <c r="J17" s="64"/>
      <c r="K17" s="49"/>
      <c r="L17" s="553" t="s">
        <v>36</v>
      </c>
      <c r="M17" s="553"/>
      <c r="N17" s="553"/>
      <c r="O17" s="137">
        <v>0</v>
      </c>
      <c r="P17" s="137">
        <v>0</v>
      </c>
      <c r="Q17" s="61"/>
    </row>
    <row r="18" spans="1:17">
      <c r="A18" s="64"/>
      <c r="B18" s="105"/>
      <c r="C18" s="425"/>
      <c r="D18" s="552" t="s">
        <v>142</v>
      </c>
      <c r="E18" s="552"/>
      <c r="F18" s="552"/>
      <c r="G18" s="137">
        <v>0</v>
      </c>
      <c r="H18" s="137">
        <v>0</v>
      </c>
      <c r="I18" s="64"/>
      <c r="J18" s="64"/>
      <c r="K18" s="133"/>
      <c r="L18" s="553" t="s">
        <v>143</v>
      </c>
      <c r="M18" s="553"/>
      <c r="N18" s="553"/>
      <c r="O18" s="137">
        <v>0</v>
      </c>
      <c r="P18" s="137">
        <v>0</v>
      </c>
      <c r="Q18" s="61"/>
    </row>
    <row r="19" spans="1:17">
      <c r="A19" s="64"/>
      <c r="B19" s="105"/>
      <c r="C19" s="425"/>
      <c r="D19" s="552" t="s">
        <v>78</v>
      </c>
      <c r="E19" s="552"/>
      <c r="F19" s="552"/>
      <c r="G19" s="137">
        <v>0</v>
      </c>
      <c r="H19" s="137">
        <v>0</v>
      </c>
      <c r="I19" s="64"/>
      <c r="J19" s="64"/>
      <c r="K19" s="133"/>
      <c r="L19" s="49"/>
      <c r="M19" s="49"/>
      <c r="N19" s="49"/>
      <c r="O19" s="49"/>
      <c r="P19" s="49"/>
      <c r="Q19" s="61"/>
    </row>
    <row r="20" spans="1:17">
      <c r="A20" s="64"/>
      <c r="B20" s="105"/>
      <c r="C20" s="425"/>
      <c r="D20" s="552" t="s">
        <v>79</v>
      </c>
      <c r="E20" s="552"/>
      <c r="F20" s="552"/>
      <c r="G20" s="137">
        <v>202388.82</v>
      </c>
      <c r="H20" s="137">
        <v>0</v>
      </c>
      <c r="I20" s="64"/>
      <c r="J20" s="64"/>
      <c r="K20" s="551" t="s">
        <v>144</v>
      </c>
      <c r="L20" s="551"/>
      <c r="M20" s="551"/>
      <c r="N20" s="551"/>
      <c r="O20" s="136">
        <f>SUM(O21:O23)</f>
        <v>65015.180000000008</v>
      </c>
      <c r="P20" s="136">
        <f>SUM(P21:P23)</f>
        <v>0</v>
      </c>
      <c r="Q20" s="61"/>
    </row>
    <row r="21" spans="1:17">
      <c r="A21" s="64"/>
      <c r="B21" s="105"/>
      <c r="C21" s="425"/>
      <c r="D21" s="552" t="s">
        <v>81</v>
      </c>
      <c r="E21" s="552"/>
      <c r="F21" s="552"/>
      <c r="G21" s="137">
        <v>0</v>
      </c>
      <c r="H21" s="137">
        <v>0</v>
      </c>
      <c r="I21" s="64"/>
      <c r="J21" s="64"/>
      <c r="K21" s="133"/>
      <c r="L21" s="553" t="s">
        <v>34</v>
      </c>
      <c r="M21" s="553"/>
      <c r="N21" s="553"/>
      <c r="O21" s="137">
        <v>0</v>
      </c>
      <c r="P21" s="137">
        <v>0</v>
      </c>
      <c r="Q21" s="61"/>
    </row>
    <row r="22" spans="1:17">
      <c r="A22" s="64"/>
      <c r="B22" s="105"/>
      <c r="C22" s="425"/>
      <c r="D22" s="552" t="s">
        <v>83</v>
      </c>
      <c r="E22" s="552"/>
      <c r="F22" s="552"/>
      <c r="G22" s="137">
        <v>1047200</v>
      </c>
      <c r="H22" s="137">
        <v>0</v>
      </c>
      <c r="I22" s="64"/>
      <c r="J22" s="64"/>
      <c r="K22" s="134"/>
      <c r="L22" s="553" t="s">
        <v>36</v>
      </c>
      <c r="M22" s="553"/>
      <c r="N22" s="553"/>
      <c r="O22" s="137">
        <v>41153.980000000003</v>
      </c>
      <c r="P22" s="137">
        <v>0</v>
      </c>
      <c r="Q22" s="61"/>
    </row>
    <row r="23" spans="1:17" ht="26.25" customHeight="1">
      <c r="A23" s="64"/>
      <c r="B23" s="105"/>
      <c r="C23" s="425"/>
      <c r="D23" s="552" t="s">
        <v>85</v>
      </c>
      <c r="E23" s="552"/>
      <c r="F23" s="552"/>
      <c r="G23" s="137">
        <v>0</v>
      </c>
      <c r="H23" s="137">
        <v>0</v>
      </c>
      <c r="I23" s="64"/>
      <c r="J23" s="64"/>
      <c r="K23" s="49"/>
      <c r="L23" s="553" t="s">
        <v>145</v>
      </c>
      <c r="M23" s="553"/>
      <c r="N23" s="553"/>
      <c r="O23" s="137">
        <v>23861.200000000001</v>
      </c>
      <c r="P23" s="137">
        <v>0</v>
      </c>
      <c r="Q23" s="61"/>
    </row>
    <row r="24" spans="1:17">
      <c r="A24" s="64"/>
      <c r="B24" s="105"/>
      <c r="C24" s="134"/>
      <c r="D24" s="552" t="s">
        <v>90</v>
      </c>
      <c r="E24" s="552"/>
      <c r="F24" s="552"/>
      <c r="G24" s="137">
        <v>0</v>
      </c>
      <c r="H24" s="137">
        <v>0</v>
      </c>
      <c r="I24" s="64"/>
      <c r="J24" s="64"/>
      <c r="K24" s="133"/>
      <c r="L24" s="49"/>
      <c r="M24" s="49"/>
      <c r="N24" s="49"/>
      <c r="O24" s="49"/>
      <c r="P24" s="49"/>
      <c r="Q24" s="61"/>
    </row>
    <row r="25" spans="1:17">
      <c r="A25" s="64"/>
      <c r="B25" s="105"/>
      <c r="C25" s="425"/>
      <c r="D25" s="552" t="s">
        <v>146</v>
      </c>
      <c r="E25" s="552"/>
      <c r="F25" s="552"/>
      <c r="G25" s="137">
        <v>31353669.030000001</v>
      </c>
      <c r="H25" s="137">
        <v>0</v>
      </c>
      <c r="I25" s="64"/>
      <c r="J25" s="64"/>
      <c r="K25" s="551" t="s">
        <v>147</v>
      </c>
      <c r="L25" s="551"/>
      <c r="M25" s="551"/>
      <c r="N25" s="551"/>
      <c r="O25" s="136">
        <f>O15-O20</f>
        <v>-65015.180000000008</v>
      </c>
      <c r="P25" s="136">
        <f>P15-P20</f>
        <v>0</v>
      </c>
      <c r="Q25" s="61"/>
    </row>
    <row r="26" spans="1:17">
      <c r="A26" s="64"/>
      <c r="B26" s="105"/>
      <c r="C26" s="134"/>
      <c r="D26" s="552" t="s">
        <v>148</v>
      </c>
      <c r="E26" s="552"/>
      <c r="F26" s="427"/>
      <c r="G26" s="137">
        <v>172464</v>
      </c>
      <c r="H26" s="137">
        <v>0</v>
      </c>
      <c r="I26" s="64"/>
      <c r="J26" s="64"/>
      <c r="K26" s="49"/>
      <c r="L26" s="49"/>
      <c r="M26" s="49"/>
      <c r="N26" s="49"/>
      <c r="O26" s="49"/>
      <c r="P26" s="49"/>
      <c r="Q26" s="61"/>
    </row>
    <row r="27" spans="1:17">
      <c r="A27" s="64"/>
      <c r="B27" s="105"/>
      <c r="C27" s="134"/>
      <c r="D27" s="64"/>
      <c r="E27" s="134"/>
      <c r="F27" s="134"/>
      <c r="G27" s="133"/>
      <c r="H27" s="133"/>
      <c r="I27" s="64"/>
      <c r="J27" s="49"/>
      <c r="K27" s="49"/>
      <c r="L27" s="49"/>
      <c r="M27" s="49"/>
      <c r="N27" s="49"/>
      <c r="O27" s="49"/>
      <c r="P27" s="49"/>
      <c r="Q27" s="61"/>
    </row>
    <row r="28" spans="1:17">
      <c r="A28" s="64"/>
      <c r="B28" s="105"/>
      <c r="C28" s="551" t="s">
        <v>144</v>
      </c>
      <c r="D28" s="551"/>
      <c r="E28" s="551"/>
      <c r="F28" s="551"/>
      <c r="G28" s="136">
        <f>SUM(G29:G44)</f>
        <v>29691476.280000001</v>
      </c>
      <c r="H28" s="136">
        <f>SUM(H29:H44)</f>
        <v>0</v>
      </c>
      <c r="I28" s="64"/>
      <c r="J28" s="551" t="s">
        <v>149</v>
      </c>
      <c r="K28" s="551"/>
      <c r="L28" s="551"/>
      <c r="M28" s="551"/>
      <c r="N28" s="551"/>
      <c r="O28" s="135"/>
      <c r="P28" s="135"/>
      <c r="Q28" s="61"/>
    </row>
    <row r="29" spans="1:17">
      <c r="A29" s="64"/>
      <c r="B29" s="105"/>
      <c r="C29" s="424"/>
      <c r="D29" s="552" t="s">
        <v>150</v>
      </c>
      <c r="E29" s="552"/>
      <c r="F29" s="552"/>
      <c r="G29" s="137">
        <v>24150125.199999999</v>
      </c>
      <c r="H29" s="137">
        <v>0</v>
      </c>
      <c r="I29" s="64"/>
      <c r="J29" s="64"/>
      <c r="K29" s="134"/>
      <c r="L29" s="134"/>
      <c r="M29" s="134"/>
      <c r="N29" s="134"/>
      <c r="O29" s="135"/>
      <c r="P29" s="135"/>
      <c r="Q29" s="61"/>
    </row>
    <row r="30" spans="1:17">
      <c r="A30" s="64"/>
      <c r="B30" s="105"/>
      <c r="C30" s="424"/>
      <c r="D30" s="552" t="s">
        <v>75</v>
      </c>
      <c r="E30" s="552"/>
      <c r="F30" s="552"/>
      <c r="G30" s="137">
        <v>1127597.6100000001</v>
      </c>
      <c r="H30" s="137">
        <v>0</v>
      </c>
      <c r="I30" s="64"/>
      <c r="J30" s="49"/>
      <c r="K30" s="551" t="s">
        <v>140</v>
      </c>
      <c r="L30" s="551"/>
      <c r="M30" s="551"/>
      <c r="N30" s="551"/>
      <c r="O30" s="136">
        <f>O31+O34+O35</f>
        <v>0</v>
      </c>
      <c r="P30" s="136">
        <f>P31+P34+P35</f>
        <v>0</v>
      </c>
      <c r="Q30" s="61"/>
    </row>
    <row r="31" spans="1:17">
      <c r="A31" s="64"/>
      <c r="B31" s="105"/>
      <c r="C31" s="424"/>
      <c r="D31" s="552" t="s">
        <v>77</v>
      </c>
      <c r="E31" s="552"/>
      <c r="F31" s="552"/>
      <c r="G31" s="137">
        <v>3489425.87</v>
      </c>
      <c r="H31" s="137">
        <v>0</v>
      </c>
      <c r="I31" s="64"/>
      <c r="J31" s="64"/>
      <c r="K31" s="49"/>
      <c r="L31" s="553" t="s">
        <v>151</v>
      </c>
      <c r="M31" s="553"/>
      <c r="N31" s="553"/>
      <c r="O31" s="137">
        <v>0</v>
      </c>
      <c r="P31" s="137">
        <f>SUM(P32:P33)</f>
        <v>0</v>
      </c>
      <c r="Q31" s="61"/>
    </row>
    <row r="32" spans="1:17">
      <c r="A32" s="64"/>
      <c r="B32" s="105"/>
      <c r="C32" s="134"/>
      <c r="D32" s="552" t="s">
        <v>82</v>
      </c>
      <c r="E32" s="552"/>
      <c r="F32" s="552"/>
      <c r="G32" s="137">
        <v>0</v>
      </c>
      <c r="H32" s="137">
        <v>0</v>
      </c>
      <c r="I32" s="64"/>
      <c r="J32" s="64"/>
      <c r="K32" s="424"/>
      <c r="L32" s="553" t="s">
        <v>152</v>
      </c>
      <c r="M32" s="553"/>
      <c r="N32" s="553"/>
      <c r="O32" s="137">
        <v>0</v>
      </c>
      <c r="P32" s="137">
        <v>0</v>
      </c>
      <c r="Q32" s="61"/>
    </row>
    <row r="33" spans="1:17">
      <c r="A33" s="64"/>
      <c r="B33" s="105"/>
      <c r="C33" s="424"/>
      <c r="D33" s="552" t="s">
        <v>153</v>
      </c>
      <c r="E33" s="552"/>
      <c r="F33" s="552"/>
      <c r="G33" s="137">
        <v>446748</v>
      </c>
      <c r="H33" s="137">
        <v>0</v>
      </c>
      <c r="I33" s="64"/>
      <c r="J33" s="64"/>
      <c r="K33" s="424"/>
      <c r="L33" s="553" t="s">
        <v>154</v>
      </c>
      <c r="M33" s="553"/>
      <c r="N33" s="553"/>
      <c r="O33" s="137">
        <v>0</v>
      </c>
      <c r="P33" s="137">
        <v>0</v>
      </c>
      <c r="Q33" s="61"/>
    </row>
    <row r="34" spans="1:17" ht="15" customHeight="1">
      <c r="A34" s="64"/>
      <c r="B34" s="105"/>
      <c r="C34" s="424"/>
      <c r="D34" s="552" t="s">
        <v>155</v>
      </c>
      <c r="E34" s="552"/>
      <c r="F34" s="552"/>
      <c r="G34" s="137">
        <v>0</v>
      </c>
      <c r="H34" s="137">
        <v>0</v>
      </c>
      <c r="I34" s="64"/>
      <c r="J34" s="64"/>
      <c r="K34" s="424"/>
      <c r="L34" s="553" t="s">
        <v>156</v>
      </c>
      <c r="M34" s="553"/>
      <c r="N34" s="553"/>
      <c r="O34" s="137">
        <v>0</v>
      </c>
      <c r="P34" s="137">
        <v>0</v>
      </c>
      <c r="Q34" s="61"/>
    </row>
    <row r="35" spans="1:17" ht="15" customHeight="1">
      <c r="A35" s="64"/>
      <c r="B35" s="105"/>
      <c r="C35" s="424"/>
      <c r="D35" s="552" t="s">
        <v>87</v>
      </c>
      <c r="E35" s="552"/>
      <c r="F35" s="552"/>
      <c r="G35" s="137">
        <v>477579.6</v>
      </c>
      <c r="H35" s="137">
        <v>0</v>
      </c>
      <c r="I35" s="64"/>
      <c r="J35" s="64"/>
      <c r="K35" s="133"/>
      <c r="L35" s="553" t="s">
        <v>157</v>
      </c>
      <c r="M35" s="553"/>
      <c r="N35" s="553"/>
      <c r="O35" s="137">
        <v>0</v>
      </c>
      <c r="P35" s="137">
        <v>0</v>
      </c>
      <c r="Q35" s="61"/>
    </row>
    <row r="36" spans="1:17" ht="15" customHeight="1">
      <c r="A36" s="64"/>
      <c r="B36" s="105"/>
      <c r="C36" s="424"/>
      <c r="D36" s="552" t="s">
        <v>89</v>
      </c>
      <c r="E36" s="552"/>
      <c r="F36" s="552"/>
      <c r="G36" s="137">
        <v>0</v>
      </c>
      <c r="H36" s="137">
        <v>0</v>
      </c>
      <c r="I36" s="64"/>
      <c r="J36" s="64"/>
      <c r="K36" s="133"/>
      <c r="L36" s="49"/>
      <c r="M36" s="49"/>
      <c r="N36" s="49"/>
      <c r="O36" s="49"/>
      <c r="P36" s="49"/>
      <c r="Q36" s="61"/>
    </row>
    <row r="37" spans="1:17" ht="15" customHeight="1">
      <c r="A37" s="64"/>
      <c r="B37" s="105"/>
      <c r="C37" s="424"/>
      <c r="D37" s="552" t="s">
        <v>91</v>
      </c>
      <c r="E37" s="552"/>
      <c r="F37" s="552"/>
      <c r="G37" s="137">
        <v>0</v>
      </c>
      <c r="H37" s="137">
        <v>0</v>
      </c>
      <c r="I37" s="64"/>
      <c r="J37" s="64"/>
      <c r="K37" s="551" t="s">
        <v>144</v>
      </c>
      <c r="L37" s="551"/>
      <c r="M37" s="551"/>
      <c r="N37" s="551"/>
      <c r="O37" s="136">
        <f>O38+O41+O42</f>
        <v>0</v>
      </c>
      <c r="P37" s="136">
        <f>P38+P41+P42</f>
        <v>0</v>
      </c>
      <c r="Q37" s="61"/>
    </row>
    <row r="38" spans="1:17" ht="15" customHeight="1">
      <c r="A38" s="64"/>
      <c r="B38" s="105"/>
      <c r="C38" s="424"/>
      <c r="D38" s="552" t="s">
        <v>93</v>
      </c>
      <c r="E38" s="552"/>
      <c r="F38" s="552"/>
      <c r="G38" s="137">
        <v>0</v>
      </c>
      <c r="H38" s="137">
        <v>0</v>
      </c>
      <c r="I38" s="64"/>
      <c r="J38" s="49"/>
      <c r="K38" s="49"/>
      <c r="L38" s="553" t="s">
        <v>158</v>
      </c>
      <c r="M38" s="553"/>
      <c r="N38" s="553"/>
      <c r="O38" s="137">
        <v>0</v>
      </c>
      <c r="P38" s="137">
        <f>SUM(P39:P40)</f>
        <v>0</v>
      </c>
      <c r="Q38" s="61"/>
    </row>
    <row r="39" spans="1:17" ht="15" customHeight="1">
      <c r="A39" s="64"/>
      <c r="B39" s="105"/>
      <c r="C39" s="424"/>
      <c r="D39" s="552" t="s">
        <v>94</v>
      </c>
      <c r="E39" s="552"/>
      <c r="F39" s="552"/>
      <c r="G39" s="137">
        <v>0</v>
      </c>
      <c r="H39" s="137">
        <v>0</v>
      </c>
      <c r="I39" s="64"/>
      <c r="J39" s="64"/>
      <c r="K39" s="49"/>
      <c r="L39" s="553" t="s">
        <v>152</v>
      </c>
      <c r="M39" s="553"/>
      <c r="N39" s="553"/>
      <c r="O39" s="137">
        <v>0</v>
      </c>
      <c r="P39" s="137">
        <v>0</v>
      </c>
      <c r="Q39" s="61"/>
    </row>
    <row r="40" spans="1:17" ht="15" customHeight="1">
      <c r="A40" s="64"/>
      <c r="B40" s="105"/>
      <c r="C40" s="424"/>
      <c r="D40" s="552" t="s">
        <v>96</v>
      </c>
      <c r="E40" s="552"/>
      <c r="F40" s="552"/>
      <c r="G40" s="137">
        <v>0</v>
      </c>
      <c r="H40" s="137">
        <v>0</v>
      </c>
      <c r="I40" s="64"/>
      <c r="J40" s="64"/>
      <c r="K40" s="424"/>
      <c r="L40" s="553" t="s">
        <v>154</v>
      </c>
      <c r="M40" s="553"/>
      <c r="N40" s="553"/>
      <c r="O40" s="137">
        <v>0</v>
      </c>
      <c r="P40" s="137">
        <v>0</v>
      </c>
      <c r="Q40" s="61"/>
    </row>
    <row r="41" spans="1:17" ht="15" customHeight="1">
      <c r="A41" s="64"/>
      <c r="B41" s="105"/>
      <c r="C41" s="424"/>
      <c r="D41" s="552" t="s">
        <v>159</v>
      </c>
      <c r="E41" s="552"/>
      <c r="F41" s="552"/>
      <c r="G41" s="137">
        <v>0</v>
      </c>
      <c r="H41" s="137">
        <v>0</v>
      </c>
      <c r="I41" s="64"/>
      <c r="J41" s="64"/>
      <c r="K41" s="424"/>
      <c r="L41" s="553" t="s">
        <v>160</v>
      </c>
      <c r="M41" s="553"/>
      <c r="N41" s="553"/>
      <c r="O41" s="137">
        <v>0</v>
      </c>
      <c r="P41" s="137">
        <v>0</v>
      </c>
      <c r="Q41" s="61"/>
    </row>
    <row r="42" spans="1:17" ht="15" customHeight="1">
      <c r="A42" s="64"/>
      <c r="B42" s="105"/>
      <c r="C42" s="134"/>
      <c r="D42" s="552" t="s">
        <v>130</v>
      </c>
      <c r="E42" s="552"/>
      <c r="F42" s="552"/>
      <c r="G42" s="137">
        <v>0</v>
      </c>
      <c r="H42" s="137">
        <v>0</v>
      </c>
      <c r="I42" s="64"/>
      <c r="J42" s="64"/>
      <c r="K42" s="424"/>
      <c r="L42" s="553" t="s">
        <v>161</v>
      </c>
      <c r="M42" s="553"/>
      <c r="N42" s="553"/>
      <c r="O42" s="137">
        <v>0</v>
      </c>
      <c r="P42" s="137">
        <v>0</v>
      </c>
      <c r="Q42" s="61"/>
    </row>
    <row r="43" spans="1:17" ht="15" customHeight="1">
      <c r="A43" s="64"/>
      <c r="B43" s="105"/>
      <c r="C43" s="424"/>
      <c r="D43" s="552" t="s">
        <v>103</v>
      </c>
      <c r="E43" s="552"/>
      <c r="F43" s="552"/>
      <c r="G43" s="137">
        <v>0</v>
      </c>
      <c r="H43" s="137">
        <v>0</v>
      </c>
      <c r="I43" s="64"/>
      <c r="J43" s="64"/>
      <c r="K43" s="133"/>
      <c r="L43" s="49"/>
      <c r="M43" s="49"/>
      <c r="N43" s="49"/>
      <c r="O43" s="49"/>
      <c r="P43" s="49"/>
      <c r="Q43" s="61"/>
    </row>
    <row r="44" spans="1:17" ht="15" customHeight="1">
      <c r="A44" s="64"/>
      <c r="B44" s="105"/>
      <c r="C44" s="424"/>
      <c r="D44" s="552" t="s">
        <v>162</v>
      </c>
      <c r="E44" s="552"/>
      <c r="F44" s="552"/>
      <c r="G44" s="137">
        <v>0</v>
      </c>
      <c r="H44" s="137">
        <v>0</v>
      </c>
      <c r="I44" s="64"/>
      <c r="J44" s="64"/>
      <c r="K44" s="551" t="s">
        <v>163</v>
      </c>
      <c r="L44" s="551"/>
      <c r="M44" s="551"/>
      <c r="N44" s="551"/>
      <c r="O44" s="136">
        <f>O30-O37</f>
        <v>0</v>
      </c>
      <c r="P44" s="136">
        <f>P30-P37</f>
        <v>0</v>
      </c>
      <c r="Q44" s="61"/>
    </row>
    <row r="45" spans="1:17" ht="15" customHeight="1">
      <c r="A45" s="64"/>
      <c r="B45" s="105"/>
      <c r="C45" s="424"/>
      <c r="D45" s="49"/>
      <c r="E45" s="49"/>
      <c r="F45" s="49"/>
      <c r="G45" s="49"/>
      <c r="H45" s="49"/>
      <c r="I45" s="64"/>
      <c r="J45" s="64"/>
      <c r="K45" s="133"/>
      <c r="L45" s="133"/>
      <c r="M45" s="133"/>
      <c r="N45" s="133"/>
      <c r="O45" s="135"/>
      <c r="P45" s="135"/>
      <c r="Q45" s="61"/>
    </row>
    <row r="46" spans="1:17" ht="17.25" customHeight="1">
      <c r="A46" s="64"/>
      <c r="B46" s="105"/>
      <c r="C46" s="134"/>
      <c r="D46" s="64"/>
      <c r="E46" s="134"/>
      <c r="F46" s="134"/>
      <c r="G46" s="133"/>
      <c r="H46" s="133"/>
      <c r="I46" s="64"/>
      <c r="J46" s="64"/>
      <c r="K46" s="133"/>
      <c r="L46" s="133"/>
      <c r="M46" s="133"/>
      <c r="N46" s="133"/>
      <c r="O46" s="135"/>
      <c r="P46" s="135"/>
      <c r="Q46" s="61"/>
    </row>
    <row r="47" spans="1:17" s="143" customFormat="1" ht="25.5" customHeight="1">
      <c r="A47" s="139"/>
      <c r="B47" s="140"/>
      <c r="C47" s="551" t="s">
        <v>164</v>
      </c>
      <c r="D47" s="551"/>
      <c r="E47" s="551"/>
      <c r="F47" s="551"/>
      <c r="G47" s="141">
        <f>G15-G28</f>
        <v>3084245.5700000003</v>
      </c>
      <c r="H47" s="141">
        <f>H15-H28</f>
        <v>0</v>
      </c>
      <c r="I47" s="139"/>
      <c r="J47" s="554" t="s">
        <v>165</v>
      </c>
      <c r="K47" s="554"/>
      <c r="L47" s="554"/>
      <c r="M47" s="554"/>
      <c r="N47" s="554"/>
      <c r="O47" s="141">
        <f>G47+O25+O44</f>
        <v>3019230.39</v>
      </c>
      <c r="P47" s="141">
        <f>H47+P25+P44</f>
        <v>0</v>
      </c>
      <c r="Q47" s="142"/>
    </row>
    <row r="48" spans="1:17" s="143" customFormat="1" ht="25.5" customHeight="1">
      <c r="A48" s="139"/>
      <c r="B48" s="140"/>
      <c r="C48" s="424"/>
      <c r="D48" s="424"/>
      <c r="E48" s="424"/>
      <c r="F48" s="424"/>
      <c r="G48" s="141"/>
      <c r="H48" s="141"/>
      <c r="I48" s="139"/>
      <c r="J48" s="426"/>
      <c r="K48" s="426"/>
      <c r="L48" s="426"/>
      <c r="M48" s="426"/>
      <c r="N48" s="426"/>
      <c r="O48" s="141"/>
      <c r="P48" s="141"/>
      <c r="Q48" s="142"/>
    </row>
    <row r="49" spans="1:17" s="143" customFormat="1">
      <c r="A49" s="139"/>
      <c r="B49" s="140"/>
      <c r="C49" s="424"/>
      <c r="D49" s="424"/>
      <c r="E49" s="424"/>
      <c r="F49" s="424"/>
      <c r="G49" s="141"/>
      <c r="H49" s="141"/>
      <c r="I49" s="139"/>
      <c r="J49" s="554" t="s">
        <v>166</v>
      </c>
      <c r="K49" s="554"/>
      <c r="L49" s="554"/>
      <c r="M49" s="554"/>
      <c r="N49" s="554"/>
      <c r="O49" s="144">
        <v>9933721.4800000004</v>
      </c>
      <c r="P49" s="144">
        <v>0</v>
      </c>
      <c r="Q49" s="142"/>
    </row>
    <row r="50" spans="1:17" s="143" customFormat="1">
      <c r="A50" s="139"/>
      <c r="B50" s="140"/>
      <c r="C50" s="424"/>
      <c r="D50" s="424"/>
      <c r="E50" s="424"/>
      <c r="F50" s="424"/>
      <c r="G50" s="141"/>
      <c r="H50" s="141"/>
      <c r="I50" s="139"/>
      <c r="J50" s="554" t="s">
        <v>167</v>
      </c>
      <c r="K50" s="554"/>
      <c r="L50" s="554"/>
      <c r="M50" s="554"/>
      <c r="N50" s="554"/>
      <c r="O50" s="145">
        <f>+O47+O49</f>
        <v>12952951.870000001</v>
      </c>
      <c r="P50" s="145">
        <f>+P47+P49</f>
        <v>0</v>
      </c>
      <c r="Q50" s="142"/>
    </row>
    <row r="51" spans="1:17" s="143" customFormat="1" ht="9.75" customHeight="1">
      <c r="A51" s="139"/>
      <c r="B51" s="140"/>
      <c r="C51" s="424"/>
      <c r="D51" s="424"/>
      <c r="E51" s="424"/>
      <c r="F51" s="424"/>
      <c r="G51" s="141"/>
      <c r="H51" s="141"/>
      <c r="I51" s="139"/>
      <c r="J51" s="426"/>
      <c r="K51" s="426"/>
      <c r="L51" s="426"/>
      <c r="M51" s="426"/>
      <c r="N51" s="426"/>
      <c r="O51" s="141"/>
      <c r="P51" s="141"/>
      <c r="Q51" s="142"/>
    </row>
    <row r="52" spans="1:17" ht="6" customHeight="1">
      <c r="A52" s="64"/>
      <c r="B52" s="146"/>
      <c r="C52" s="147"/>
      <c r="D52" s="147"/>
      <c r="E52" s="147"/>
      <c r="F52" s="147"/>
      <c r="G52" s="148"/>
      <c r="H52" s="148"/>
      <c r="I52" s="149"/>
      <c r="J52" s="80"/>
      <c r="K52" s="80"/>
      <c r="L52" s="80"/>
      <c r="M52" s="80"/>
      <c r="N52" s="80"/>
      <c r="O52" s="80"/>
      <c r="P52" s="80"/>
      <c r="Q52" s="82"/>
    </row>
    <row r="53" spans="1:17" ht="6" customHeight="1">
      <c r="A53" s="64"/>
      <c r="I53" s="64"/>
      <c r="J53" s="64"/>
      <c r="K53" s="133"/>
      <c r="L53" s="133"/>
      <c r="M53" s="133"/>
      <c r="N53" s="133"/>
      <c r="O53" s="135"/>
      <c r="P53" s="135"/>
      <c r="Q53" s="49"/>
    </row>
    <row r="54" spans="1:17" ht="6" customHeight="1">
      <c r="A54" s="64"/>
      <c r="I54" s="64"/>
      <c r="J54" s="49"/>
      <c r="K54" s="49"/>
      <c r="L54" s="49"/>
      <c r="M54" s="49"/>
      <c r="N54" s="49"/>
      <c r="O54" s="49"/>
      <c r="P54" s="49"/>
      <c r="Q54" s="49"/>
    </row>
    <row r="55" spans="1:17" ht="15" customHeight="1">
      <c r="A55" s="49"/>
      <c r="B55" s="70" t="s">
        <v>65</v>
      </c>
      <c r="C55" s="70"/>
      <c r="D55" s="70"/>
      <c r="E55" s="70"/>
      <c r="F55" s="70"/>
      <c r="G55" s="70"/>
      <c r="H55" s="70"/>
      <c r="I55" s="70"/>
      <c r="J55" s="70"/>
      <c r="K55" s="49"/>
      <c r="L55" s="49"/>
      <c r="M55" s="49"/>
      <c r="N55" s="49"/>
      <c r="O55" s="49"/>
      <c r="P55" s="49"/>
      <c r="Q55" s="49"/>
    </row>
    <row r="56" spans="1:17" ht="9.75" customHeight="1">
      <c r="A56" s="49"/>
      <c r="B56" s="70"/>
      <c r="C56" s="88"/>
      <c r="D56" s="89"/>
      <c r="E56" s="89"/>
      <c r="F56" s="49"/>
      <c r="G56" s="90"/>
      <c r="H56" s="88"/>
      <c r="I56" s="89"/>
      <c r="J56" s="89"/>
      <c r="K56" s="49"/>
      <c r="L56" s="49"/>
      <c r="M56" s="49"/>
      <c r="N56" s="49"/>
      <c r="O56" s="49"/>
      <c r="P56" s="49"/>
      <c r="Q56" s="49"/>
    </row>
    <row r="57" spans="1:17" ht="40.5" customHeight="1">
      <c r="A57" s="49"/>
      <c r="B57" s="70"/>
      <c r="C57" s="88"/>
      <c r="D57" s="555"/>
      <c r="E57" s="555"/>
      <c r="F57" s="555"/>
      <c r="G57" s="555"/>
      <c r="H57" s="88"/>
      <c r="I57" s="89"/>
      <c r="J57" s="89"/>
      <c r="K57" s="49"/>
      <c r="L57" s="556"/>
      <c r="M57" s="556"/>
      <c r="N57" s="556"/>
      <c r="O57" s="556"/>
      <c r="P57" s="49"/>
      <c r="Q57" s="49"/>
    </row>
    <row r="58" spans="1:17" ht="14.1" customHeight="1">
      <c r="A58" s="49"/>
      <c r="B58" s="92"/>
      <c r="C58" s="49"/>
      <c r="D58" s="531" t="s">
        <v>439</v>
      </c>
      <c r="E58" s="531"/>
      <c r="F58" s="531"/>
      <c r="G58" s="531"/>
      <c r="H58" s="49"/>
      <c r="I58" s="93"/>
      <c r="J58" s="49"/>
      <c r="K58" s="54"/>
      <c r="L58" s="531" t="s">
        <v>422</v>
      </c>
      <c r="M58" s="531"/>
      <c r="N58" s="531"/>
      <c r="O58" s="531"/>
      <c r="P58" s="49"/>
      <c r="Q58" s="49"/>
    </row>
    <row r="59" spans="1:17" ht="14.1" customHeight="1">
      <c r="A59" s="49"/>
      <c r="B59" s="94"/>
      <c r="C59" s="49"/>
      <c r="D59" s="529" t="s">
        <v>438</v>
      </c>
      <c r="E59" s="529"/>
      <c r="F59" s="529"/>
      <c r="G59" s="529"/>
      <c r="H59" s="49"/>
      <c r="I59" s="93"/>
      <c r="J59" s="49"/>
      <c r="L59" s="529" t="s">
        <v>423</v>
      </c>
      <c r="M59" s="529"/>
      <c r="N59" s="529"/>
      <c r="O59" s="529"/>
      <c r="P59" s="49"/>
      <c r="Q59" s="49"/>
    </row>
    <row r="60" spans="1:17"/>
  </sheetData>
  <sheetProtection password="DF2C" sheet="1" objects="1" scenarios="1" formatCells="0" formatColumns="0" formatRows="0"/>
  <mergeCells count="72">
    <mergeCell ref="D59:G59"/>
    <mergeCell ref="L59:O59"/>
    <mergeCell ref="J49:N49"/>
    <mergeCell ref="J50:N50"/>
    <mergeCell ref="D57:G57"/>
    <mergeCell ref="L57:O57"/>
    <mergeCell ref="D58:G58"/>
    <mergeCell ref="L58:O58"/>
    <mergeCell ref="C47:F47"/>
    <mergeCell ref="J47:N47"/>
    <mergeCell ref="D39:F39"/>
    <mergeCell ref="L39:N39"/>
    <mergeCell ref="D40:F40"/>
    <mergeCell ref="L40:N40"/>
    <mergeCell ref="D41:F41"/>
    <mergeCell ref="L41:N41"/>
    <mergeCell ref="D42:F42"/>
    <mergeCell ref="L42:N42"/>
    <mergeCell ref="D43:F43"/>
    <mergeCell ref="D44:F44"/>
    <mergeCell ref="K44:N44"/>
    <mergeCell ref="D38:F38"/>
    <mergeCell ref="L38:N38"/>
    <mergeCell ref="D32:F32"/>
    <mergeCell ref="L32:N32"/>
    <mergeCell ref="D33:F33"/>
    <mergeCell ref="L33:N33"/>
    <mergeCell ref="D34:F34"/>
    <mergeCell ref="L34:N34"/>
    <mergeCell ref="D35:F35"/>
    <mergeCell ref="L35:N35"/>
    <mergeCell ref="D36:F36"/>
    <mergeCell ref="D37:F37"/>
    <mergeCell ref="K37:N37"/>
    <mergeCell ref="D31:F31"/>
    <mergeCell ref="L31:N31"/>
    <mergeCell ref="D23:F23"/>
    <mergeCell ref="L23:N23"/>
    <mergeCell ref="D24:F24"/>
    <mergeCell ref="D25:F25"/>
    <mergeCell ref="K25:N25"/>
    <mergeCell ref="D26:E26"/>
    <mergeCell ref="C28:F28"/>
    <mergeCell ref="J28:N28"/>
    <mergeCell ref="D29:F29"/>
    <mergeCell ref="D30:F30"/>
    <mergeCell ref="K30:N30"/>
    <mergeCell ref="D22:F22"/>
    <mergeCell ref="L22:N22"/>
    <mergeCell ref="D16:F16"/>
    <mergeCell ref="L16:N16"/>
    <mergeCell ref="D17:F17"/>
    <mergeCell ref="L17:N17"/>
    <mergeCell ref="D18:F18"/>
    <mergeCell ref="L18:N18"/>
    <mergeCell ref="D19:F19"/>
    <mergeCell ref="D20:F20"/>
    <mergeCell ref="K20:N20"/>
    <mergeCell ref="D21:F21"/>
    <mergeCell ref="L21:N21"/>
    <mergeCell ref="B10:E10"/>
    <mergeCell ref="J10:M10"/>
    <mergeCell ref="B13:F13"/>
    <mergeCell ref="J13:N13"/>
    <mergeCell ref="C15:F15"/>
    <mergeCell ref="K15:N15"/>
    <mergeCell ref="E2:O2"/>
    <mergeCell ref="E3:O3"/>
    <mergeCell ref="E4:O4"/>
    <mergeCell ref="E5:O5"/>
    <mergeCell ref="B7:D7"/>
    <mergeCell ref="E7:O7"/>
  </mergeCells>
  <pageMargins left="0.70866141732283472" right="0.70866141732283472" top="0.74803149606299213" bottom="0.74803149606299213" header="0.31496062992125984" footer="0.31496062992125984"/>
  <pageSetup scale="5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WVS47"/>
  <sheetViews>
    <sheetView showGridLines="0" topLeftCell="A22" zoomScale="80" zoomScaleNormal="80" workbookViewId="0">
      <selection activeCell="C44" sqref="C44:D45"/>
    </sheetView>
  </sheetViews>
  <sheetFormatPr baseColWidth="10" defaultColWidth="0" defaultRowHeight="15" customHeight="1" zeroHeight="1"/>
  <cols>
    <col min="1" max="1" width="2.140625" customWidth="1"/>
    <col min="2" max="2" width="3" customWidth="1"/>
    <col min="3" max="3" width="23" customWidth="1"/>
    <col min="4" max="4" width="27.5703125" customWidth="1"/>
    <col min="5" max="9" width="21" customWidth="1"/>
    <col min="10" max="10" width="3" customWidth="1"/>
    <col min="11" max="11" width="2.5703125" customWidth="1"/>
    <col min="12" max="18" width="0" hidden="1" customWidth="1"/>
    <col min="19" max="256" width="11.42578125" hidden="1"/>
    <col min="257" max="257" width="2.140625" customWidth="1"/>
    <col min="258" max="258" width="3" customWidth="1"/>
    <col min="259" max="259" width="23" customWidth="1"/>
    <col min="260" max="260" width="27.5703125" customWidth="1"/>
    <col min="261" max="265" width="21" customWidth="1"/>
    <col min="266" max="266" width="3" customWidth="1"/>
    <col min="267" max="267" width="2.5703125" customWidth="1"/>
    <col min="268" max="274" width="11.42578125" hidden="1" customWidth="1"/>
    <col min="275" max="512" width="11.42578125" hidden="1"/>
    <col min="513" max="513" width="2.140625" customWidth="1"/>
    <col min="514" max="514" width="3" customWidth="1"/>
    <col min="515" max="515" width="23" customWidth="1"/>
    <col min="516" max="516" width="27.5703125" customWidth="1"/>
    <col min="517" max="521" width="21" customWidth="1"/>
    <col min="522" max="522" width="3" customWidth="1"/>
    <col min="523" max="523" width="2.5703125" customWidth="1"/>
    <col min="524" max="530" width="11.42578125" hidden="1" customWidth="1"/>
    <col min="531" max="768" width="11.42578125" hidden="1"/>
    <col min="769" max="769" width="2.140625" customWidth="1"/>
    <col min="770" max="770" width="3" customWidth="1"/>
    <col min="771" max="771" width="23" customWidth="1"/>
    <col min="772" max="772" width="27.5703125" customWidth="1"/>
    <col min="773" max="777" width="21" customWidth="1"/>
    <col min="778" max="778" width="3" customWidth="1"/>
    <col min="779" max="779" width="2.5703125" customWidth="1"/>
    <col min="780" max="786" width="11.42578125" hidden="1" customWidth="1"/>
    <col min="787" max="1024" width="11.42578125" hidden="1"/>
    <col min="1025" max="1025" width="2.140625" customWidth="1"/>
    <col min="1026" max="1026" width="3" customWidth="1"/>
    <col min="1027" max="1027" width="23" customWidth="1"/>
    <col min="1028" max="1028" width="27.5703125" customWidth="1"/>
    <col min="1029" max="1033" width="21" customWidth="1"/>
    <col min="1034" max="1034" width="3" customWidth="1"/>
    <col min="1035" max="1035" width="2.5703125" customWidth="1"/>
    <col min="1036" max="1042" width="11.42578125" hidden="1" customWidth="1"/>
    <col min="1043" max="1280" width="11.42578125" hidden="1"/>
    <col min="1281" max="1281" width="2.140625" customWidth="1"/>
    <col min="1282" max="1282" width="3" customWidth="1"/>
    <col min="1283" max="1283" width="23" customWidth="1"/>
    <col min="1284" max="1284" width="27.5703125" customWidth="1"/>
    <col min="1285" max="1289" width="21" customWidth="1"/>
    <col min="1290" max="1290" width="3" customWidth="1"/>
    <col min="1291" max="1291" width="2.5703125" customWidth="1"/>
    <col min="1292" max="1298" width="11.42578125" hidden="1" customWidth="1"/>
    <col min="1299" max="1536" width="11.42578125" hidden="1"/>
    <col min="1537" max="1537" width="2.140625" customWidth="1"/>
    <col min="1538" max="1538" width="3" customWidth="1"/>
    <col min="1539" max="1539" width="23" customWidth="1"/>
    <col min="1540" max="1540" width="27.5703125" customWidth="1"/>
    <col min="1541" max="1545" width="21" customWidth="1"/>
    <col min="1546" max="1546" width="3" customWidth="1"/>
    <col min="1547" max="1547" width="2.5703125" customWidth="1"/>
    <col min="1548" max="1554" width="11.42578125" hidden="1" customWidth="1"/>
    <col min="1555" max="1792" width="11.42578125" hidden="1"/>
    <col min="1793" max="1793" width="2.140625" customWidth="1"/>
    <col min="1794" max="1794" width="3" customWidth="1"/>
    <col min="1795" max="1795" width="23" customWidth="1"/>
    <col min="1796" max="1796" width="27.5703125" customWidth="1"/>
    <col min="1797" max="1801" width="21" customWidth="1"/>
    <col min="1802" max="1802" width="3" customWidth="1"/>
    <col min="1803" max="1803" width="2.5703125" customWidth="1"/>
    <col min="1804" max="1810" width="11.42578125" hidden="1" customWidth="1"/>
    <col min="1811" max="2048" width="11.42578125" hidden="1"/>
    <col min="2049" max="2049" width="2.140625" customWidth="1"/>
    <col min="2050" max="2050" width="3" customWidth="1"/>
    <col min="2051" max="2051" width="23" customWidth="1"/>
    <col min="2052" max="2052" width="27.5703125" customWidth="1"/>
    <col min="2053" max="2057" width="21" customWidth="1"/>
    <col min="2058" max="2058" width="3" customWidth="1"/>
    <col min="2059" max="2059" width="2.5703125" customWidth="1"/>
    <col min="2060" max="2066" width="11.42578125" hidden="1" customWidth="1"/>
    <col min="2067" max="2304" width="11.42578125" hidden="1"/>
    <col min="2305" max="2305" width="2.140625" customWidth="1"/>
    <col min="2306" max="2306" width="3" customWidth="1"/>
    <col min="2307" max="2307" width="23" customWidth="1"/>
    <col min="2308" max="2308" width="27.5703125" customWidth="1"/>
    <col min="2309" max="2313" width="21" customWidth="1"/>
    <col min="2314" max="2314" width="3" customWidth="1"/>
    <col min="2315" max="2315" width="2.5703125" customWidth="1"/>
    <col min="2316" max="2322" width="11.42578125" hidden="1" customWidth="1"/>
    <col min="2323" max="2560" width="11.42578125" hidden="1"/>
    <col min="2561" max="2561" width="2.140625" customWidth="1"/>
    <col min="2562" max="2562" width="3" customWidth="1"/>
    <col min="2563" max="2563" width="23" customWidth="1"/>
    <col min="2564" max="2564" width="27.5703125" customWidth="1"/>
    <col min="2565" max="2569" width="21" customWidth="1"/>
    <col min="2570" max="2570" width="3" customWidth="1"/>
    <col min="2571" max="2571" width="2.5703125" customWidth="1"/>
    <col min="2572" max="2578" width="11.42578125" hidden="1" customWidth="1"/>
    <col min="2579" max="2816" width="11.42578125" hidden="1"/>
    <col min="2817" max="2817" width="2.140625" customWidth="1"/>
    <col min="2818" max="2818" width="3" customWidth="1"/>
    <col min="2819" max="2819" width="23" customWidth="1"/>
    <col min="2820" max="2820" width="27.5703125" customWidth="1"/>
    <col min="2821" max="2825" width="21" customWidth="1"/>
    <col min="2826" max="2826" width="3" customWidth="1"/>
    <col min="2827" max="2827" width="2.5703125" customWidth="1"/>
    <col min="2828" max="2834" width="11.42578125" hidden="1" customWidth="1"/>
    <col min="2835" max="3072" width="11.42578125" hidden="1"/>
    <col min="3073" max="3073" width="2.140625" customWidth="1"/>
    <col min="3074" max="3074" width="3" customWidth="1"/>
    <col min="3075" max="3075" width="23" customWidth="1"/>
    <col min="3076" max="3076" width="27.5703125" customWidth="1"/>
    <col min="3077" max="3081" width="21" customWidth="1"/>
    <col min="3082" max="3082" width="3" customWidth="1"/>
    <col min="3083" max="3083" width="2.5703125" customWidth="1"/>
    <col min="3084" max="3090" width="11.42578125" hidden="1" customWidth="1"/>
    <col min="3091" max="3328" width="11.42578125" hidden="1"/>
    <col min="3329" max="3329" width="2.140625" customWidth="1"/>
    <col min="3330" max="3330" width="3" customWidth="1"/>
    <col min="3331" max="3331" width="23" customWidth="1"/>
    <col min="3332" max="3332" width="27.5703125" customWidth="1"/>
    <col min="3333" max="3337" width="21" customWidth="1"/>
    <col min="3338" max="3338" width="3" customWidth="1"/>
    <col min="3339" max="3339" width="2.5703125" customWidth="1"/>
    <col min="3340" max="3346" width="11.42578125" hidden="1" customWidth="1"/>
    <col min="3347" max="3584" width="11.42578125" hidden="1"/>
    <col min="3585" max="3585" width="2.140625" customWidth="1"/>
    <col min="3586" max="3586" width="3" customWidth="1"/>
    <col min="3587" max="3587" width="23" customWidth="1"/>
    <col min="3588" max="3588" width="27.5703125" customWidth="1"/>
    <col min="3589" max="3593" width="21" customWidth="1"/>
    <col min="3594" max="3594" width="3" customWidth="1"/>
    <col min="3595" max="3595" width="2.5703125" customWidth="1"/>
    <col min="3596" max="3602" width="11.42578125" hidden="1" customWidth="1"/>
    <col min="3603" max="3840" width="11.42578125" hidden="1"/>
    <col min="3841" max="3841" width="2.140625" customWidth="1"/>
    <col min="3842" max="3842" width="3" customWidth="1"/>
    <col min="3843" max="3843" width="23" customWidth="1"/>
    <col min="3844" max="3844" width="27.5703125" customWidth="1"/>
    <col min="3845" max="3849" width="21" customWidth="1"/>
    <col min="3850" max="3850" width="3" customWidth="1"/>
    <col min="3851" max="3851" width="2.5703125" customWidth="1"/>
    <col min="3852" max="3858" width="11.42578125" hidden="1" customWidth="1"/>
    <col min="3859" max="4096" width="11.42578125" hidden="1"/>
    <col min="4097" max="4097" width="2.140625" customWidth="1"/>
    <col min="4098" max="4098" width="3" customWidth="1"/>
    <col min="4099" max="4099" width="23" customWidth="1"/>
    <col min="4100" max="4100" width="27.5703125" customWidth="1"/>
    <col min="4101" max="4105" width="21" customWidth="1"/>
    <col min="4106" max="4106" width="3" customWidth="1"/>
    <col min="4107" max="4107" width="2.5703125" customWidth="1"/>
    <col min="4108" max="4114" width="11.42578125" hidden="1" customWidth="1"/>
    <col min="4115" max="4352" width="11.42578125" hidden="1"/>
    <col min="4353" max="4353" width="2.140625" customWidth="1"/>
    <col min="4354" max="4354" width="3" customWidth="1"/>
    <col min="4355" max="4355" width="23" customWidth="1"/>
    <col min="4356" max="4356" width="27.5703125" customWidth="1"/>
    <col min="4357" max="4361" width="21" customWidth="1"/>
    <col min="4362" max="4362" width="3" customWidth="1"/>
    <col min="4363" max="4363" width="2.5703125" customWidth="1"/>
    <col min="4364" max="4370" width="11.42578125" hidden="1" customWidth="1"/>
    <col min="4371" max="4608" width="11.42578125" hidden="1"/>
    <col min="4609" max="4609" width="2.140625" customWidth="1"/>
    <col min="4610" max="4610" width="3" customWidth="1"/>
    <col min="4611" max="4611" width="23" customWidth="1"/>
    <col min="4612" max="4612" width="27.5703125" customWidth="1"/>
    <col min="4613" max="4617" width="21" customWidth="1"/>
    <col min="4618" max="4618" width="3" customWidth="1"/>
    <col min="4619" max="4619" width="2.5703125" customWidth="1"/>
    <col min="4620" max="4626" width="11.42578125" hidden="1" customWidth="1"/>
    <col min="4627" max="4864" width="11.42578125" hidden="1"/>
    <col min="4865" max="4865" width="2.140625" customWidth="1"/>
    <col min="4866" max="4866" width="3" customWidth="1"/>
    <col min="4867" max="4867" width="23" customWidth="1"/>
    <col min="4868" max="4868" width="27.5703125" customWidth="1"/>
    <col min="4869" max="4873" width="21" customWidth="1"/>
    <col min="4874" max="4874" width="3" customWidth="1"/>
    <col min="4875" max="4875" width="2.5703125" customWidth="1"/>
    <col min="4876" max="4882" width="11.42578125" hidden="1" customWidth="1"/>
    <col min="4883" max="5120" width="11.42578125" hidden="1"/>
    <col min="5121" max="5121" width="2.140625" customWidth="1"/>
    <col min="5122" max="5122" width="3" customWidth="1"/>
    <col min="5123" max="5123" width="23" customWidth="1"/>
    <col min="5124" max="5124" width="27.5703125" customWidth="1"/>
    <col min="5125" max="5129" width="21" customWidth="1"/>
    <col min="5130" max="5130" width="3" customWidth="1"/>
    <col min="5131" max="5131" width="2.5703125" customWidth="1"/>
    <col min="5132" max="5138" width="11.42578125" hidden="1" customWidth="1"/>
    <col min="5139" max="5376" width="11.42578125" hidden="1"/>
    <col min="5377" max="5377" width="2.140625" customWidth="1"/>
    <col min="5378" max="5378" width="3" customWidth="1"/>
    <col min="5379" max="5379" width="23" customWidth="1"/>
    <col min="5380" max="5380" width="27.5703125" customWidth="1"/>
    <col min="5381" max="5385" width="21" customWidth="1"/>
    <col min="5386" max="5386" width="3" customWidth="1"/>
    <col min="5387" max="5387" width="2.5703125" customWidth="1"/>
    <col min="5388" max="5394" width="11.42578125" hidden="1" customWidth="1"/>
    <col min="5395" max="5632" width="11.42578125" hidden="1"/>
    <col min="5633" max="5633" width="2.140625" customWidth="1"/>
    <col min="5634" max="5634" width="3" customWidth="1"/>
    <col min="5635" max="5635" width="23" customWidth="1"/>
    <col min="5636" max="5636" width="27.5703125" customWidth="1"/>
    <col min="5637" max="5641" width="21" customWidth="1"/>
    <col min="5642" max="5642" width="3" customWidth="1"/>
    <col min="5643" max="5643" width="2.5703125" customWidth="1"/>
    <col min="5644" max="5650" width="11.42578125" hidden="1" customWidth="1"/>
    <col min="5651" max="5888" width="11.42578125" hidden="1"/>
    <col min="5889" max="5889" width="2.140625" customWidth="1"/>
    <col min="5890" max="5890" width="3" customWidth="1"/>
    <col min="5891" max="5891" width="23" customWidth="1"/>
    <col min="5892" max="5892" width="27.5703125" customWidth="1"/>
    <col min="5893" max="5897" width="21" customWidth="1"/>
    <col min="5898" max="5898" width="3" customWidth="1"/>
    <col min="5899" max="5899" width="2.5703125" customWidth="1"/>
    <col min="5900" max="5906" width="11.42578125" hidden="1" customWidth="1"/>
    <col min="5907" max="6144" width="11.42578125" hidden="1"/>
    <col min="6145" max="6145" width="2.140625" customWidth="1"/>
    <col min="6146" max="6146" width="3" customWidth="1"/>
    <col min="6147" max="6147" width="23" customWidth="1"/>
    <col min="6148" max="6148" width="27.5703125" customWidth="1"/>
    <col min="6149" max="6153" width="21" customWidth="1"/>
    <col min="6154" max="6154" width="3" customWidth="1"/>
    <col min="6155" max="6155" width="2.5703125" customWidth="1"/>
    <col min="6156" max="6162" width="11.42578125" hidden="1" customWidth="1"/>
    <col min="6163" max="6400" width="11.42578125" hidden="1"/>
    <col min="6401" max="6401" width="2.140625" customWidth="1"/>
    <col min="6402" max="6402" width="3" customWidth="1"/>
    <col min="6403" max="6403" width="23" customWidth="1"/>
    <col min="6404" max="6404" width="27.5703125" customWidth="1"/>
    <col min="6405" max="6409" width="21" customWidth="1"/>
    <col min="6410" max="6410" width="3" customWidth="1"/>
    <col min="6411" max="6411" width="2.5703125" customWidth="1"/>
    <col min="6412" max="6418" width="11.42578125" hidden="1" customWidth="1"/>
    <col min="6419" max="6656" width="11.42578125" hidden="1"/>
    <col min="6657" max="6657" width="2.140625" customWidth="1"/>
    <col min="6658" max="6658" width="3" customWidth="1"/>
    <col min="6659" max="6659" width="23" customWidth="1"/>
    <col min="6660" max="6660" width="27.5703125" customWidth="1"/>
    <col min="6661" max="6665" width="21" customWidth="1"/>
    <col min="6666" max="6666" width="3" customWidth="1"/>
    <col min="6667" max="6667" width="2.5703125" customWidth="1"/>
    <col min="6668" max="6674" width="11.42578125" hidden="1" customWidth="1"/>
    <col min="6675" max="6912" width="11.42578125" hidden="1"/>
    <col min="6913" max="6913" width="2.140625" customWidth="1"/>
    <col min="6914" max="6914" width="3" customWidth="1"/>
    <col min="6915" max="6915" width="23" customWidth="1"/>
    <col min="6916" max="6916" width="27.5703125" customWidth="1"/>
    <col min="6917" max="6921" width="21" customWidth="1"/>
    <col min="6922" max="6922" width="3" customWidth="1"/>
    <col min="6923" max="6923" width="2.5703125" customWidth="1"/>
    <col min="6924" max="6930" width="11.42578125" hidden="1" customWidth="1"/>
    <col min="6931" max="7168" width="11.42578125" hidden="1"/>
    <col min="7169" max="7169" width="2.140625" customWidth="1"/>
    <col min="7170" max="7170" width="3" customWidth="1"/>
    <col min="7171" max="7171" width="23" customWidth="1"/>
    <col min="7172" max="7172" width="27.5703125" customWidth="1"/>
    <col min="7173" max="7177" width="21" customWidth="1"/>
    <col min="7178" max="7178" width="3" customWidth="1"/>
    <col min="7179" max="7179" width="2.5703125" customWidth="1"/>
    <col min="7180" max="7186" width="11.42578125" hidden="1" customWidth="1"/>
    <col min="7187" max="7424" width="11.42578125" hidden="1"/>
    <col min="7425" max="7425" width="2.140625" customWidth="1"/>
    <col min="7426" max="7426" width="3" customWidth="1"/>
    <col min="7427" max="7427" width="23" customWidth="1"/>
    <col min="7428" max="7428" width="27.5703125" customWidth="1"/>
    <col min="7429" max="7433" width="21" customWidth="1"/>
    <col min="7434" max="7434" width="3" customWidth="1"/>
    <col min="7435" max="7435" width="2.5703125" customWidth="1"/>
    <col min="7436" max="7442" width="11.42578125" hidden="1" customWidth="1"/>
    <col min="7443" max="7680" width="11.42578125" hidden="1"/>
    <col min="7681" max="7681" width="2.140625" customWidth="1"/>
    <col min="7682" max="7682" width="3" customWidth="1"/>
    <col min="7683" max="7683" width="23" customWidth="1"/>
    <col min="7684" max="7684" width="27.5703125" customWidth="1"/>
    <col min="7685" max="7689" width="21" customWidth="1"/>
    <col min="7690" max="7690" width="3" customWidth="1"/>
    <col min="7691" max="7691" width="2.5703125" customWidth="1"/>
    <col min="7692" max="7698" width="11.42578125" hidden="1" customWidth="1"/>
    <col min="7699" max="7936" width="11.42578125" hidden="1"/>
    <col min="7937" max="7937" width="2.140625" customWidth="1"/>
    <col min="7938" max="7938" width="3" customWidth="1"/>
    <col min="7939" max="7939" width="23" customWidth="1"/>
    <col min="7940" max="7940" width="27.5703125" customWidth="1"/>
    <col min="7941" max="7945" width="21" customWidth="1"/>
    <col min="7946" max="7946" width="3" customWidth="1"/>
    <col min="7947" max="7947" width="2.5703125" customWidth="1"/>
    <col min="7948" max="7954" width="11.42578125" hidden="1" customWidth="1"/>
    <col min="7955" max="8192" width="11.42578125" hidden="1"/>
    <col min="8193" max="8193" width="2.140625" customWidth="1"/>
    <col min="8194" max="8194" width="3" customWidth="1"/>
    <col min="8195" max="8195" width="23" customWidth="1"/>
    <col min="8196" max="8196" width="27.5703125" customWidth="1"/>
    <col min="8197" max="8201" width="21" customWidth="1"/>
    <col min="8202" max="8202" width="3" customWidth="1"/>
    <col min="8203" max="8203" width="2.5703125" customWidth="1"/>
    <col min="8204" max="8210" width="11.42578125" hidden="1" customWidth="1"/>
    <col min="8211" max="8448" width="11.42578125" hidden="1"/>
    <col min="8449" max="8449" width="2.140625" customWidth="1"/>
    <col min="8450" max="8450" width="3" customWidth="1"/>
    <col min="8451" max="8451" width="23" customWidth="1"/>
    <col min="8452" max="8452" width="27.5703125" customWidth="1"/>
    <col min="8453" max="8457" width="21" customWidth="1"/>
    <col min="8458" max="8458" width="3" customWidth="1"/>
    <col min="8459" max="8459" width="2.5703125" customWidth="1"/>
    <col min="8460" max="8466" width="11.42578125" hidden="1" customWidth="1"/>
    <col min="8467" max="8704" width="11.42578125" hidden="1"/>
    <col min="8705" max="8705" width="2.140625" customWidth="1"/>
    <col min="8706" max="8706" width="3" customWidth="1"/>
    <col min="8707" max="8707" width="23" customWidth="1"/>
    <col min="8708" max="8708" width="27.5703125" customWidth="1"/>
    <col min="8709" max="8713" width="21" customWidth="1"/>
    <col min="8714" max="8714" width="3" customWidth="1"/>
    <col min="8715" max="8715" width="2.5703125" customWidth="1"/>
    <col min="8716" max="8722" width="11.42578125" hidden="1" customWidth="1"/>
    <col min="8723" max="8960" width="11.42578125" hidden="1"/>
    <col min="8961" max="8961" width="2.140625" customWidth="1"/>
    <col min="8962" max="8962" width="3" customWidth="1"/>
    <col min="8963" max="8963" width="23" customWidth="1"/>
    <col min="8964" max="8964" width="27.5703125" customWidth="1"/>
    <col min="8965" max="8969" width="21" customWidth="1"/>
    <col min="8970" max="8970" width="3" customWidth="1"/>
    <col min="8971" max="8971" width="2.5703125" customWidth="1"/>
    <col min="8972" max="8978" width="11.42578125" hidden="1" customWidth="1"/>
    <col min="8979" max="9216" width="11.42578125" hidden="1"/>
    <col min="9217" max="9217" width="2.140625" customWidth="1"/>
    <col min="9218" max="9218" width="3" customWidth="1"/>
    <col min="9219" max="9219" width="23" customWidth="1"/>
    <col min="9220" max="9220" width="27.5703125" customWidth="1"/>
    <col min="9221" max="9225" width="21" customWidth="1"/>
    <col min="9226" max="9226" width="3" customWidth="1"/>
    <col min="9227" max="9227" width="2.5703125" customWidth="1"/>
    <col min="9228" max="9234" width="11.42578125" hidden="1" customWidth="1"/>
    <col min="9235" max="9472" width="11.42578125" hidden="1"/>
    <col min="9473" max="9473" width="2.140625" customWidth="1"/>
    <col min="9474" max="9474" width="3" customWidth="1"/>
    <col min="9475" max="9475" width="23" customWidth="1"/>
    <col min="9476" max="9476" width="27.5703125" customWidth="1"/>
    <col min="9477" max="9481" width="21" customWidth="1"/>
    <col min="9482" max="9482" width="3" customWidth="1"/>
    <col min="9483" max="9483" width="2.5703125" customWidth="1"/>
    <col min="9484" max="9490" width="11.42578125" hidden="1" customWidth="1"/>
    <col min="9491" max="9728" width="11.42578125" hidden="1"/>
    <col min="9729" max="9729" width="2.140625" customWidth="1"/>
    <col min="9730" max="9730" width="3" customWidth="1"/>
    <col min="9731" max="9731" width="23" customWidth="1"/>
    <col min="9732" max="9732" width="27.5703125" customWidth="1"/>
    <col min="9733" max="9737" width="21" customWidth="1"/>
    <col min="9738" max="9738" width="3" customWidth="1"/>
    <col min="9739" max="9739" width="2.5703125" customWidth="1"/>
    <col min="9740" max="9746" width="11.42578125" hidden="1" customWidth="1"/>
    <col min="9747" max="9984" width="11.42578125" hidden="1"/>
    <col min="9985" max="9985" width="2.140625" customWidth="1"/>
    <col min="9986" max="9986" width="3" customWidth="1"/>
    <col min="9987" max="9987" width="23" customWidth="1"/>
    <col min="9988" max="9988" width="27.5703125" customWidth="1"/>
    <col min="9989" max="9993" width="21" customWidth="1"/>
    <col min="9994" max="9994" width="3" customWidth="1"/>
    <col min="9995" max="9995" width="2.5703125" customWidth="1"/>
    <col min="9996" max="10002" width="11.42578125" hidden="1" customWidth="1"/>
    <col min="10003" max="10240" width="11.42578125" hidden="1"/>
    <col min="10241" max="10241" width="2.140625" customWidth="1"/>
    <col min="10242" max="10242" width="3" customWidth="1"/>
    <col min="10243" max="10243" width="23" customWidth="1"/>
    <col min="10244" max="10244" width="27.5703125" customWidth="1"/>
    <col min="10245" max="10249" width="21" customWidth="1"/>
    <col min="10250" max="10250" width="3" customWidth="1"/>
    <col min="10251" max="10251" width="2.5703125" customWidth="1"/>
    <col min="10252" max="10258" width="11.42578125" hidden="1" customWidth="1"/>
    <col min="10259" max="10496" width="11.42578125" hidden="1"/>
    <col min="10497" max="10497" width="2.140625" customWidth="1"/>
    <col min="10498" max="10498" width="3" customWidth="1"/>
    <col min="10499" max="10499" width="23" customWidth="1"/>
    <col min="10500" max="10500" width="27.5703125" customWidth="1"/>
    <col min="10501" max="10505" width="21" customWidth="1"/>
    <col min="10506" max="10506" width="3" customWidth="1"/>
    <col min="10507" max="10507" width="2.5703125" customWidth="1"/>
    <col min="10508" max="10514" width="11.42578125" hidden="1" customWidth="1"/>
    <col min="10515" max="10752" width="11.42578125" hidden="1"/>
    <col min="10753" max="10753" width="2.140625" customWidth="1"/>
    <col min="10754" max="10754" width="3" customWidth="1"/>
    <col min="10755" max="10755" width="23" customWidth="1"/>
    <col min="10756" max="10756" width="27.5703125" customWidth="1"/>
    <col min="10757" max="10761" width="21" customWidth="1"/>
    <col min="10762" max="10762" width="3" customWidth="1"/>
    <col min="10763" max="10763" width="2.5703125" customWidth="1"/>
    <col min="10764" max="10770" width="11.42578125" hidden="1" customWidth="1"/>
    <col min="10771" max="11008" width="11.42578125" hidden="1"/>
    <col min="11009" max="11009" width="2.140625" customWidth="1"/>
    <col min="11010" max="11010" width="3" customWidth="1"/>
    <col min="11011" max="11011" width="23" customWidth="1"/>
    <col min="11012" max="11012" width="27.5703125" customWidth="1"/>
    <col min="11013" max="11017" width="21" customWidth="1"/>
    <col min="11018" max="11018" width="3" customWidth="1"/>
    <col min="11019" max="11019" width="2.5703125" customWidth="1"/>
    <col min="11020" max="11026" width="11.42578125" hidden="1" customWidth="1"/>
    <col min="11027" max="11264" width="11.42578125" hidden="1"/>
    <col min="11265" max="11265" width="2.140625" customWidth="1"/>
    <col min="11266" max="11266" width="3" customWidth="1"/>
    <col min="11267" max="11267" width="23" customWidth="1"/>
    <col min="11268" max="11268" width="27.5703125" customWidth="1"/>
    <col min="11269" max="11273" width="21" customWidth="1"/>
    <col min="11274" max="11274" width="3" customWidth="1"/>
    <col min="11275" max="11275" width="2.5703125" customWidth="1"/>
    <col min="11276" max="11282" width="11.42578125" hidden="1" customWidth="1"/>
    <col min="11283" max="11520" width="11.42578125" hidden="1"/>
    <col min="11521" max="11521" width="2.140625" customWidth="1"/>
    <col min="11522" max="11522" width="3" customWidth="1"/>
    <col min="11523" max="11523" width="23" customWidth="1"/>
    <col min="11524" max="11524" width="27.5703125" customWidth="1"/>
    <col min="11525" max="11529" width="21" customWidth="1"/>
    <col min="11530" max="11530" width="3" customWidth="1"/>
    <col min="11531" max="11531" width="2.5703125" customWidth="1"/>
    <col min="11532" max="11538" width="11.42578125" hidden="1" customWidth="1"/>
    <col min="11539" max="11776" width="11.42578125" hidden="1"/>
    <col min="11777" max="11777" width="2.140625" customWidth="1"/>
    <col min="11778" max="11778" width="3" customWidth="1"/>
    <col min="11779" max="11779" width="23" customWidth="1"/>
    <col min="11780" max="11780" width="27.5703125" customWidth="1"/>
    <col min="11781" max="11785" width="21" customWidth="1"/>
    <col min="11786" max="11786" width="3" customWidth="1"/>
    <col min="11787" max="11787" width="2.5703125" customWidth="1"/>
    <col min="11788" max="11794" width="11.42578125" hidden="1" customWidth="1"/>
    <col min="11795" max="12032" width="11.42578125" hidden="1"/>
    <col min="12033" max="12033" width="2.140625" customWidth="1"/>
    <col min="12034" max="12034" width="3" customWidth="1"/>
    <col min="12035" max="12035" width="23" customWidth="1"/>
    <col min="12036" max="12036" width="27.5703125" customWidth="1"/>
    <col min="12037" max="12041" width="21" customWidth="1"/>
    <col min="12042" max="12042" width="3" customWidth="1"/>
    <col min="12043" max="12043" width="2.5703125" customWidth="1"/>
    <col min="12044" max="12050" width="11.42578125" hidden="1" customWidth="1"/>
    <col min="12051" max="12288" width="11.42578125" hidden="1"/>
    <col min="12289" max="12289" width="2.140625" customWidth="1"/>
    <col min="12290" max="12290" width="3" customWidth="1"/>
    <col min="12291" max="12291" width="23" customWidth="1"/>
    <col min="12292" max="12292" width="27.5703125" customWidth="1"/>
    <col min="12293" max="12297" width="21" customWidth="1"/>
    <col min="12298" max="12298" width="3" customWidth="1"/>
    <col min="12299" max="12299" width="2.5703125" customWidth="1"/>
    <col min="12300" max="12306" width="11.42578125" hidden="1" customWidth="1"/>
    <col min="12307" max="12544" width="11.42578125" hidden="1"/>
    <col min="12545" max="12545" width="2.140625" customWidth="1"/>
    <col min="12546" max="12546" width="3" customWidth="1"/>
    <col min="12547" max="12547" width="23" customWidth="1"/>
    <col min="12548" max="12548" width="27.5703125" customWidth="1"/>
    <col min="12549" max="12553" width="21" customWidth="1"/>
    <col min="12554" max="12554" width="3" customWidth="1"/>
    <col min="12555" max="12555" width="2.5703125" customWidth="1"/>
    <col min="12556" max="12562" width="11.42578125" hidden="1" customWidth="1"/>
    <col min="12563" max="12800" width="11.42578125" hidden="1"/>
    <col min="12801" max="12801" width="2.140625" customWidth="1"/>
    <col min="12802" max="12802" width="3" customWidth="1"/>
    <col min="12803" max="12803" width="23" customWidth="1"/>
    <col min="12804" max="12804" width="27.5703125" customWidth="1"/>
    <col min="12805" max="12809" width="21" customWidth="1"/>
    <col min="12810" max="12810" width="3" customWidth="1"/>
    <col min="12811" max="12811" width="2.5703125" customWidth="1"/>
    <col min="12812" max="12818" width="11.42578125" hidden="1" customWidth="1"/>
    <col min="12819" max="13056" width="11.42578125" hidden="1"/>
    <col min="13057" max="13057" width="2.140625" customWidth="1"/>
    <col min="13058" max="13058" width="3" customWidth="1"/>
    <col min="13059" max="13059" width="23" customWidth="1"/>
    <col min="13060" max="13060" width="27.5703125" customWidth="1"/>
    <col min="13061" max="13065" width="21" customWidth="1"/>
    <col min="13066" max="13066" width="3" customWidth="1"/>
    <col min="13067" max="13067" width="2.5703125" customWidth="1"/>
    <col min="13068" max="13074" width="11.42578125" hidden="1" customWidth="1"/>
    <col min="13075" max="13312" width="11.42578125" hidden="1"/>
    <col min="13313" max="13313" width="2.140625" customWidth="1"/>
    <col min="13314" max="13314" width="3" customWidth="1"/>
    <col min="13315" max="13315" width="23" customWidth="1"/>
    <col min="13316" max="13316" width="27.5703125" customWidth="1"/>
    <col min="13317" max="13321" width="21" customWidth="1"/>
    <col min="13322" max="13322" width="3" customWidth="1"/>
    <col min="13323" max="13323" width="2.5703125" customWidth="1"/>
    <col min="13324" max="13330" width="11.42578125" hidden="1" customWidth="1"/>
    <col min="13331" max="13568" width="11.42578125" hidden="1"/>
    <col min="13569" max="13569" width="2.140625" customWidth="1"/>
    <col min="13570" max="13570" width="3" customWidth="1"/>
    <col min="13571" max="13571" width="23" customWidth="1"/>
    <col min="13572" max="13572" width="27.5703125" customWidth="1"/>
    <col min="13573" max="13577" width="21" customWidth="1"/>
    <col min="13578" max="13578" width="3" customWidth="1"/>
    <col min="13579" max="13579" width="2.5703125" customWidth="1"/>
    <col min="13580" max="13586" width="11.42578125" hidden="1" customWidth="1"/>
    <col min="13587" max="13824" width="11.42578125" hidden="1"/>
    <col min="13825" max="13825" width="2.140625" customWidth="1"/>
    <col min="13826" max="13826" width="3" customWidth="1"/>
    <col min="13827" max="13827" width="23" customWidth="1"/>
    <col min="13828" max="13828" width="27.5703125" customWidth="1"/>
    <col min="13829" max="13833" width="21" customWidth="1"/>
    <col min="13834" max="13834" width="3" customWidth="1"/>
    <col min="13835" max="13835" width="2.5703125" customWidth="1"/>
    <col min="13836" max="13842" width="11.42578125" hidden="1" customWidth="1"/>
    <col min="13843" max="14080" width="11.42578125" hidden="1"/>
    <col min="14081" max="14081" width="2.140625" customWidth="1"/>
    <col min="14082" max="14082" width="3" customWidth="1"/>
    <col min="14083" max="14083" width="23" customWidth="1"/>
    <col min="14084" max="14084" width="27.5703125" customWidth="1"/>
    <col min="14085" max="14089" width="21" customWidth="1"/>
    <col min="14090" max="14090" width="3" customWidth="1"/>
    <col min="14091" max="14091" width="2.5703125" customWidth="1"/>
    <col min="14092" max="14098" width="11.42578125" hidden="1" customWidth="1"/>
    <col min="14099" max="14336" width="11.42578125" hidden="1"/>
    <col min="14337" max="14337" width="2.140625" customWidth="1"/>
    <col min="14338" max="14338" width="3" customWidth="1"/>
    <col min="14339" max="14339" width="23" customWidth="1"/>
    <col min="14340" max="14340" width="27.5703125" customWidth="1"/>
    <col min="14341" max="14345" width="21" customWidth="1"/>
    <col min="14346" max="14346" width="3" customWidth="1"/>
    <col min="14347" max="14347" width="2.5703125" customWidth="1"/>
    <col min="14348" max="14354" width="11.42578125" hidden="1" customWidth="1"/>
    <col min="14355" max="14592" width="11.42578125" hidden="1"/>
    <col min="14593" max="14593" width="2.140625" customWidth="1"/>
    <col min="14594" max="14594" width="3" customWidth="1"/>
    <col min="14595" max="14595" width="23" customWidth="1"/>
    <col min="14596" max="14596" width="27.5703125" customWidth="1"/>
    <col min="14597" max="14601" width="21" customWidth="1"/>
    <col min="14602" max="14602" width="3" customWidth="1"/>
    <col min="14603" max="14603" width="2.5703125" customWidth="1"/>
    <col min="14604" max="14610" width="11.42578125" hidden="1" customWidth="1"/>
    <col min="14611" max="14848" width="11.42578125" hidden="1"/>
    <col min="14849" max="14849" width="2.140625" customWidth="1"/>
    <col min="14850" max="14850" width="3" customWidth="1"/>
    <col min="14851" max="14851" width="23" customWidth="1"/>
    <col min="14852" max="14852" width="27.5703125" customWidth="1"/>
    <col min="14853" max="14857" width="21" customWidth="1"/>
    <col min="14858" max="14858" width="3" customWidth="1"/>
    <col min="14859" max="14859" width="2.5703125" customWidth="1"/>
    <col min="14860" max="14866" width="11.42578125" hidden="1" customWidth="1"/>
    <col min="14867" max="15104" width="11.42578125" hidden="1"/>
    <col min="15105" max="15105" width="2.140625" customWidth="1"/>
    <col min="15106" max="15106" width="3" customWidth="1"/>
    <col min="15107" max="15107" width="23" customWidth="1"/>
    <col min="15108" max="15108" width="27.5703125" customWidth="1"/>
    <col min="15109" max="15113" width="21" customWidth="1"/>
    <col min="15114" max="15114" width="3" customWidth="1"/>
    <col min="15115" max="15115" width="2.5703125" customWidth="1"/>
    <col min="15116" max="15122" width="11.42578125" hidden="1" customWidth="1"/>
    <col min="15123" max="15360" width="11.42578125" hidden="1"/>
    <col min="15361" max="15361" width="2.140625" customWidth="1"/>
    <col min="15362" max="15362" width="3" customWidth="1"/>
    <col min="15363" max="15363" width="23" customWidth="1"/>
    <col min="15364" max="15364" width="27.5703125" customWidth="1"/>
    <col min="15365" max="15369" width="21" customWidth="1"/>
    <col min="15370" max="15370" width="3" customWidth="1"/>
    <col min="15371" max="15371" width="2.5703125" customWidth="1"/>
    <col min="15372" max="15378" width="11.42578125" hidden="1" customWidth="1"/>
    <col min="15379" max="15616" width="11.42578125" hidden="1"/>
    <col min="15617" max="15617" width="2.140625" customWidth="1"/>
    <col min="15618" max="15618" width="3" customWidth="1"/>
    <col min="15619" max="15619" width="23" customWidth="1"/>
    <col min="15620" max="15620" width="27.5703125" customWidth="1"/>
    <col min="15621" max="15625" width="21" customWidth="1"/>
    <col min="15626" max="15626" width="3" customWidth="1"/>
    <col min="15627" max="15627" width="2.5703125" customWidth="1"/>
    <col min="15628" max="15634" width="11.42578125" hidden="1" customWidth="1"/>
    <col min="15635" max="15872" width="11.42578125" hidden="1"/>
    <col min="15873" max="15873" width="2.140625" customWidth="1"/>
    <col min="15874" max="15874" width="3" customWidth="1"/>
    <col min="15875" max="15875" width="23" customWidth="1"/>
    <col min="15876" max="15876" width="27.5703125" customWidth="1"/>
    <col min="15877" max="15881" width="21" customWidth="1"/>
    <col min="15882" max="15882" width="3" customWidth="1"/>
    <col min="15883" max="15883" width="2.5703125" customWidth="1"/>
    <col min="15884" max="15890" width="11.42578125" hidden="1" customWidth="1"/>
    <col min="15891" max="16128" width="11.42578125" hidden="1"/>
    <col min="16129" max="16129" width="2.140625" customWidth="1"/>
    <col min="16130" max="16130" width="3" customWidth="1"/>
    <col min="16131" max="16131" width="23" customWidth="1"/>
    <col min="16132" max="16132" width="27.5703125" customWidth="1"/>
    <col min="16133" max="16137" width="21" customWidth="1"/>
    <col min="16138" max="16138" width="3" customWidth="1"/>
    <col min="16139" max="16139" width="2.5703125" customWidth="1"/>
    <col min="16140" max="16146" width="11.42578125" hidden="1" customWidth="1"/>
    <col min="16147" max="16384" width="11.42578125" hidden="1"/>
  </cols>
  <sheetData>
    <row r="1" spans="2:14" ht="8.25" customHeight="1">
      <c r="B1" s="49"/>
      <c r="C1" s="64"/>
      <c r="D1" s="571"/>
      <c r="E1" s="571"/>
      <c r="F1" s="571"/>
      <c r="G1" s="572"/>
      <c r="H1" s="572"/>
      <c r="I1" s="572"/>
      <c r="J1" s="152"/>
      <c r="K1" s="572"/>
      <c r="L1" s="572"/>
      <c r="M1" s="49"/>
      <c r="N1" s="49"/>
    </row>
    <row r="2" spans="2:14" ht="9" customHeight="1">
      <c r="B2" s="49"/>
      <c r="C2" s="64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2:14">
      <c r="B3" s="49"/>
      <c r="C3" s="100"/>
      <c r="D3" s="542" t="s">
        <v>412</v>
      </c>
      <c r="E3" s="542"/>
      <c r="F3" s="542"/>
      <c r="G3" s="542"/>
      <c r="H3" s="542"/>
      <c r="I3" s="100"/>
      <c r="J3" s="100"/>
      <c r="K3" s="125"/>
      <c r="L3" s="125"/>
      <c r="M3" s="49"/>
      <c r="N3" s="49"/>
    </row>
    <row r="4" spans="2:14">
      <c r="B4" s="49"/>
      <c r="C4" s="100"/>
      <c r="D4" s="542" t="s">
        <v>168</v>
      </c>
      <c r="E4" s="542"/>
      <c r="F4" s="542"/>
      <c r="G4" s="542"/>
      <c r="H4" s="542"/>
      <c r="I4" s="100"/>
      <c r="J4" s="100"/>
      <c r="K4" s="125"/>
      <c r="L4" s="125"/>
      <c r="M4" s="49"/>
      <c r="N4" s="49"/>
    </row>
    <row r="5" spans="2:14">
      <c r="B5" s="49"/>
      <c r="C5" s="100"/>
      <c r="D5" s="542" t="s">
        <v>413</v>
      </c>
      <c r="E5" s="542"/>
      <c r="F5" s="542"/>
      <c r="G5" s="542"/>
      <c r="H5" s="542"/>
      <c r="I5" s="100"/>
      <c r="J5" s="100"/>
      <c r="K5" s="125"/>
      <c r="L5" s="125"/>
      <c r="M5" s="49"/>
      <c r="N5" s="49"/>
    </row>
    <row r="6" spans="2:14">
      <c r="B6" s="49"/>
      <c r="C6" s="100"/>
      <c r="D6" s="542" t="s">
        <v>2</v>
      </c>
      <c r="E6" s="542"/>
      <c r="F6" s="542"/>
      <c r="G6" s="542"/>
      <c r="H6" s="542"/>
      <c r="I6" s="100"/>
      <c r="J6" s="100"/>
      <c r="K6" s="125"/>
      <c r="L6" s="125"/>
      <c r="M6" s="49"/>
      <c r="N6" s="49"/>
    </row>
    <row r="7" spans="2:14">
      <c r="B7" s="101"/>
      <c r="C7" s="53" t="s">
        <v>3</v>
      </c>
      <c r="D7" s="525" t="s">
        <v>4</v>
      </c>
      <c r="E7" s="525"/>
      <c r="F7" s="525"/>
      <c r="G7" s="525"/>
      <c r="H7" s="525"/>
      <c r="I7" s="128"/>
      <c r="J7" s="153"/>
      <c r="K7" s="153"/>
      <c r="L7" s="153"/>
      <c r="M7" s="153"/>
      <c r="N7" s="153"/>
    </row>
    <row r="8" spans="2:14" ht="9.75" customHeight="1">
      <c r="B8" s="563"/>
      <c r="C8" s="563"/>
      <c r="D8" s="563"/>
      <c r="E8" s="563"/>
      <c r="F8" s="563"/>
      <c r="G8" s="563"/>
      <c r="H8" s="563"/>
      <c r="I8" s="563"/>
      <c r="J8" s="563"/>
      <c r="K8" s="49"/>
      <c r="L8" s="49"/>
      <c r="M8" s="49"/>
      <c r="N8" s="49"/>
    </row>
    <row r="9" spans="2:14" ht="8.25" customHeight="1">
      <c r="B9" s="563"/>
      <c r="C9" s="563"/>
      <c r="D9" s="563"/>
      <c r="E9" s="563"/>
      <c r="F9" s="563"/>
      <c r="G9" s="563"/>
      <c r="H9" s="563"/>
      <c r="I9" s="563"/>
      <c r="J9" s="563"/>
      <c r="K9" s="49"/>
      <c r="L9" s="49"/>
      <c r="M9" s="49"/>
      <c r="N9" s="49"/>
    </row>
    <row r="10" spans="2:14">
      <c r="B10" s="168"/>
      <c r="C10" s="564" t="s">
        <v>67</v>
      </c>
      <c r="D10" s="564"/>
      <c r="E10" s="169" t="s">
        <v>169</v>
      </c>
      <c r="F10" s="169" t="s">
        <v>170</v>
      </c>
      <c r="G10" s="170" t="s">
        <v>171</v>
      </c>
      <c r="H10" s="170" t="s">
        <v>172</v>
      </c>
      <c r="I10" s="170" t="s">
        <v>173</v>
      </c>
      <c r="J10" s="171"/>
      <c r="K10" s="154"/>
      <c r="L10" s="154"/>
      <c r="M10" s="154"/>
      <c r="N10" s="154"/>
    </row>
    <row r="11" spans="2:14">
      <c r="B11" s="172"/>
      <c r="C11" s="565"/>
      <c r="D11" s="565"/>
      <c r="E11" s="173">
        <v>1</v>
      </c>
      <c r="F11" s="173">
        <v>2</v>
      </c>
      <c r="G11" s="174">
        <v>3</v>
      </c>
      <c r="H11" s="174" t="s">
        <v>174</v>
      </c>
      <c r="I11" s="174" t="s">
        <v>175</v>
      </c>
      <c r="J11" s="175"/>
      <c r="K11" s="154"/>
      <c r="L11" s="154"/>
      <c r="M11" s="154"/>
      <c r="N11" s="154"/>
    </row>
    <row r="12" spans="2:14" ht="6" customHeight="1">
      <c r="B12" s="566"/>
      <c r="C12" s="563"/>
      <c r="D12" s="563"/>
      <c r="E12" s="563"/>
      <c r="F12" s="563"/>
      <c r="G12" s="563"/>
      <c r="H12" s="563"/>
      <c r="I12" s="563"/>
      <c r="J12" s="567"/>
      <c r="K12" s="49"/>
      <c r="L12" s="49"/>
      <c r="M12" s="49"/>
      <c r="N12" s="49"/>
    </row>
    <row r="13" spans="2:14" ht="10.5" customHeight="1">
      <c r="B13" s="568"/>
      <c r="C13" s="569"/>
      <c r="D13" s="569"/>
      <c r="E13" s="569"/>
      <c r="F13" s="569"/>
      <c r="G13" s="569"/>
      <c r="H13" s="569"/>
      <c r="I13" s="569"/>
      <c r="J13" s="570"/>
      <c r="K13" s="125"/>
      <c r="L13" s="125"/>
      <c r="M13" s="49"/>
      <c r="N13" s="49"/>
    </row>
    <row r="14" spans="2:14">
      <c r="B14" s="109"/>
      <c r="C14" s="558" t="s">
        <v>7</v>
      </c>
      <c r="D14" s="558"/>
      <c r="E14" s="155"/>
      <c r="F14" s="155"/>
      <c r="G14" s="155"/>
      <c r="H14" s="155"/>
      <c r="I14" s="155"/>
      <c r="J14" s="156"/>
      <c r="K14" s="125"/>
      <c r="L14" s="125"/>
      <c r="M14" s="49"/>
      <c r="N14" s="49"/>
    </row>
    <row r="15" spans="2:14">
      <c r="B15" s="109"/>
      <c r="C15" s="157"/>
      <c r="D15" s="157"/>
      <c r="E15" s="155"/>
      <c r="F15" s="155"/>
      <c r="G15" s="155"/>
      <c r="H15" s="155"/>
      <c r="I15" s="155"/>
      <c r="J15" s="156"/>
      <c r="K15" s="125"/>
      <c r="L15" s="125"/>
      <c r="M15" s="49"/>
      <c r="N15" s="49"/>
    </row>
    <row r="16" spans="2:14">
      <c r="B16" s="158"/>
      <c r="C16" s="536" t="s">
        <v>9</v>
      </c>
      <c r="D16" s="536"/>
      <c r="E16" s="159">
        <f>SUM(E18:E24)</f>
        <v>20483557.050000001</v>
      </c>
      <c r="F16" s="159">
        <f>SUM(F18:F24)</f>
        <v>90273665.810000002</v>
      </c>
      <c r="G16" s="159">
        <f>SUM(G18:G24)</f>
        <v>97594106.170000002</v>
      </c>
      <c r="H16" s="159">
        <f>SUM(H18:H24)</f>
        <v>13163116.689999998</v>
      </c>
      <c r="I16" s="159">
        <f>SUM(I18:I24)</f>
        <v>-7320440.3600000031</v>
      </c>
      <c r="J16" s="160"/>
      <c r="K16" s="125"/>
      <c r="L16" s="125"/>
      <c r="M16" s="49"/>
      <c r="N16" s="49"/>
    </row>
    <row r="17" spans="2:15">
      <c r="B17" s="105"/>
      <c r="C17" s="64"/>
      <c r="D17" s="64"/>
      <c r="E17" s="161"/>
      <c r="F17" s="161"/>
      <c r="G17" s="161"/>
      <c r="H17" s="161"/>
      <c r="I17" s="161"/>
      <c r="J17" s="67"/>
      <c r="K17" s="125"/>
      <c r="L17" s="125"/>
      <c r="M17" s="49"/>
      <c r="N17" s="49"/>
      <c r="O17" s="49"/>
    </row>
    <row r="18" spans="2:15">
      <c r="B18" s="105"/>
      <c r="C18" s="557" t="s">
        <v>11</v>
      </c>
      <c r="D18" s="557"/>
      <c r="E18" s="69">
        <v>9933721.4800000004</v>
      </c>
      <c r="F18" s="69">
        <v>56254369.490000002</v>
      </c>
      <c r="G18" s="69">
        <v>53235138.75</v>
      </c>
      <c r="H18" s="162">
        <f>E18+F18-G18</f>
        <v>12952952.219999999</v>
      </c>
      <c r="I18" s="162">
        <f>H18-E18</f>
        <v>3019230.7399999984</v>
      </c>
      <c r="J18" s="67"/>
      <c r="K18" s="125"/>
      <c r="L18" s="125"/>
      <c r="M18" s="49"/>
      <c r="N18" s="49"/>
      <c r="O18" s="49"/>
    </row>
    <row r="19" spans="2:15">
      <c r="B19" s="105"/>
      <c r="C19" s="557" t="s">
        <v>13</v>
      </c>
      <c r="D19" s="557"/>
      <c r="E19" s="69">
        <v>10549835.57</v>
      </c>
      <c r="F19" s="69">
        <v>34019296.32</v>
      </c>
      <c r="G19" s="69">
        <v>44358967.420000002</v>
      </c>
      <c r="H19" s="162">
        <f t="shared" ref="H19:H24" si="0">E19+F19-G19</f>
        <v>210164.46999999881</v>
      </c>
      <c r="I19" s="162">
        <f t="shared" ref="I19:I24" si="1">H19-E19</f>
        <v>-10339671.100000001</v>
      </c>
      <c r="J19" s="67"/>
      <c r="K19" s="125"/>
      <c r="L19" s="125"/>
      <c r="M19" s="49"/>
      <c r="N19" s="49"/>
      <c r="O19" s="49"/>
    </row>
    <row r="20" spans="2:15">
      <c r="B20" s="105"/>
      <c r="C20" s="557" t="s">
        <v>15</v>
      </c>
      <c r="D20" s="557"/>
      <c r="E20" s="69">
        <v>0</v>
      </c>
      <c r="F20" s="69">
        <v>0</v>
      </c>
      <c r="G20" s="69">
        <v>0</v>
      </c>
      <c r="H20" s="162">
        <f t="shared" si="0"/>
        <v>0</v>
      </c>
      <c r="I20" s="162">
        <f t="shared" si="1"/>
        <v>0</v>
      </c>
      <c r="J20" s="67"/>
      <c r="K20" s="125"/>
      <c r="L20" s="125"/>
      <c r="M20" s="49"/>
      <c r="N20" s="49"/>
      <c r="O20" s="49"/>
    </row>
    <row r="21" spans="2:15">
      <c r="B21" s="105"/>
      <c r="C21" s="557" t="s">
        <v>17</v>
      </c>
      <c r="D21" s="557"/>
      <c r="E21" s="69">
        <v>0</v>
      </c>
      <c r="F21" s="69">
        <v>0</v>
      </c>
      <c r="G21" s="69">
        <v>0</v>
      </c>
      <c r="H21" s="162">
        <f t="shared" si="0"/>
        <v>0</v>
      </c>
      <c r="I21" s="162">
        <f t="shared" si="1"/>
        <v>0</v>
      </c>
      <c r="J21" s="67"/>
      <c r="K21" s="125"/>
      <c r="L21" s="125"/>
      <c r="M21" s="49"/>
      <c r="N21" s="49"/>
      <c r="O21" s="49" t="s">
        <v>124</v>
      </c>
    </row>
    <row r="22" spans="2:15">
      <c r="B22" s="105"/>
      <c r="C22" s="557" t="s">
        <v>19</v>
      </c>
      <c r="D22" s="557"/>
      <c r="E22" s="69">
        <v>0</v>
      </c>
      <c r="F22" s="69">
        <v>0</v>
      </c>
      <c r="G22" s="69">
        <v>0</v>
      </c>
      <c r="H22" s="162">
        <f t="shared" si="0"/>
        <v>0</v>
      </c>
      <c r="I22" s="162">
        <f t="shared" si="1"/>
        <v>0</v>
      </c>
      <c r="J22" s="67"/>
      <c r="K22" s="125"/>
      <c r="L22" s="125"/>
      <c r="M22" s="49"/>
      <c r="N22" s="49"/>
      <c r="O22" s="49"/>
    </row>
    <row r="23" spans="2:15">
      <c r="B23" s="105"/>
      <c r="C23" s="557" t="s">
        <v>21</v>
      </c>
      <c r="D23" s="557"/>
      <c r="E23" s="69">
        <v>0</v>
      </c>
      <c r="F23" s="69">
        <v>0</v>
      </c>
      <c r="G23" s="69">
        <v>0</v>
      </c>
      <c r="H23" s="162">
        <f t="shared" si="0"/>
        <v>0</v>
      </c>
      <c r="I23" s="162">
        <f t="shared" si="1"/>
        <v>0</v>
      </c>
      <c r="J23" s="67"/>
      <c r="K23" s="125"/>
      <c r="L23" s="125"/>
      <c r="M23" s="49" t="s">
        <v>124</v>
      </c>
      <c r="N23" s="49"/>
      <c r="O23" s="49"/>
    </row>
    <row r="24" spans="2:15">
      <c r="B24" s="105"/>
      <c r="C24" s="557" t="s">
        <v>23</v>
      </c>
      <c r="D24" s="557"/>
      <c r="E24" s="69">
        <v>0</v>
      </c>
      <c r="F24" s="69">
        <v>0</v>
      </c>
      <c r="G24" s="69">
        <v>0</v>
      </c>
      <c r="H24" s="162">
        <f t="shared" si="0"/>
        <v>0</v>
      </c>
      <c r="I24" s="162">
        <f t="shared" si="1"/>
        <v>0</v>
      </c>
      <c r="J24" s="67"/>
    </row>
    <row r="25" spans="2:15">
      <c r="B25" s="105"/>
      <c r="C25" s="138"/>
      <c r="D25" s="138"/>
      <c r="E25" s="163"/>
      <c r="F25" s="163"/>
      <c r="G25" s="163"/>
      <c r="H25" s="163"/>
      <c r="I25" s="163"/>
      <c r="J25" s="67"/>
    </row>
    <row r="26" spans="2:15">
      <c r="B26" s="158"/>
      <c r="C26" s="536" t="s">
        <v>28</v>
      </c>
      <c r="D26" s="536"/>
      <c r="E26" s="159">
        <f>SUM(E28:E36)</f>
        <v>33155301.649999999</v>
      </c>
      <c r="F26" s="159">
        <f>SUM(F28:F36)</f>
        <v>11149803.75</v>
      </c>
      <c r="G26" s="159">
        <f>SUM(G28:G36)</f>
        <v>1676180.27</v>
      </c>
      <c r="H26" s="159">
        <f>SUM(H28:H36)</f>
        <v>42628925.130000003</v>
      </c>
      <c r="I26" s="159">
        <f>SUM(I28:I36)</f>
        <v>9473623.4800000004</v>
      </c>
      <c r="J26" s="160"/>
    </row>
    <row r="27" spans="2:15">
      <c r="B27" s="105"/>
      <c r="C27" s="64"/>
      <c r="D27" s="138"/>
      <c r="E27" s="161"/>
      <c r="F27" s="161"/>
      <c r="G27" s="161"/>
      <c r="H27" s="161"/>
      <c r="I27" s="161"/>
      <c r="J27" s="67"/>
    </row>
    <row r="28" spans="2:15">
      <c r="B28" s="105"/>
      <c r="C28" s="557" t="s">
        <v>30</v>
      </c>
      <c r="D28" s="557"/>
      <c r="E28" s="69">
        <v>0</v>
      </c>
      <c r="F28" s="69">
        <v>0</v>
      </c>
      <c r="G28" s="69">
        <v>0</v>
      </c>
      <c r="H28" s="162">
        <f>E28+F28-G28</f>
        <v>0</v>
      </c>
      <c r="I28" s="162">
        <f>H28-E28</f>
        <v>0</v>
      </c>
      <c r="J28" s="67"/>
    </row>
    <row r="29" spans="2:15">
      <c r="B29" s="105"/>
      <c r="C29" s="557" t="s">
        <v>32</v>
      </c>
      <c r="D29" s="557"/>
      <c r="E29" s="69">
        <v>0</v>
      </c>
      <c r="F29" s="69">
        <v>10542104.57</v>
      </c>
      <c r="G29" s="69">
        <v>0</v>
      </c>
      <c r="H29" s="162">
        <f t="shared" ref="H29:H36" si="2">E29+F29-G29</f>
        <v>10542104.57</v>
      </c>
      <c r="I29" s="162">
        <f t="shared" ref="I29:I35" si="3">H29-E29</f>
        <v>10542104.57</v>
      </c>
      <c r="J29" s="67"/>
    </row>
    <row r="30" spans="2:15">
      <c r="B30" s="105"/>
      <c r="C30" s="557" t="s">
        <v>34</v>
      </c>
      <c r="D30" s="557"/>
      <c r="E30" s="69">
        <v>3120000</v>
      </c>
      <c r="F30" s="69">
        <v>0</v>
      </c>
      <c r="G30" s="69">
        <v>0</v>
      </c>
      <c r="H30" s="162">
        <f t="shared" si="2"/>
        <v>3120000</v>
      </c>
      <c r="I30" s="162">
        <f t="shared" si="3"/>
        <v>0</v>
      </c>
      <c r="J30" s="67"/>
    </row>
    <row r="31" spans="2:15">
      <c r="B31" s="105"/>
      <c r="C31" s="557" t="s">
        <v>176</v>
      </c>
      <c r="D31" s="557"/>
      <c r="E31" s="69">
        <v>17056653.550000001</v>
      </c>
      <c r="F31" s="69">
        <v>583837.98</v>
      </c>
      <c r="G31" s="69">
        <v>0</v>
      </c>
      <c r="H31" s="162">
        <f t="shared" si="2"/>
        <v>17640491.530000001</v>
      </c>
      <c r="I31" s="162">
        <f t="shared" si="3"/>
        <v>583837.98000000045</v>
      </c>
      <c r="J31" s="67"/>
    </row>
    <row r="32" spans="2:15">
      <c r="B32" s="105"/>
      <c r="C32" s="557" t="s">
        <v>38</v>
      </c>
      <c r="D32" s="557"/>
      <c r="E32" s="69">
        <v>1397096.04</v>
      </c>
      <c r="F32" s="69">
        <v>23861.200000000001</v>
      </c>
      <c r="G32" s="69">
        <v>0</v>
      </c>
      <c r="H32" s="162">
        <f t="shared" si="2"/>
        <v>1420957.24</v>
      </c>
      <c r="I32" s="162">
        <f t="shared" si="3"/>
        <v>23861.199999999953</v>
      </c>
      <c r="J32" s="67"/>
    </row>
    <row r="33" spans="2:18">
      <c r="B33" s="105"/>
      <c r="C33" s="557" t="s">
        <v>40</v>
      </c>
      <c r="D33" s="557"/>
      <c r="E33" s="69">
        <v>11581552.060000001</v>
      </c>
      <c r="F33" s="69">
        <v>0</v>
      </c>
      <c r="G33" s="69">
        <v>1676180.27</v>
      </c>
      <c r="H33" s="162">
        <f t="shared" si="2"/>
        <v>9905371.790000001</v>
      </c>
      <c r="I33" s="162">
        <f t="shared" si="3"/>
        <v>-1676180.2699999996</v>
      </c>
      <c r="J33" s="67"/>
    </row>
    <row r="34" spans="2:18">
      <c r="B34" s="105"/>
      <c r="C34" s="557" t="s">
        <v>42</v>
      </c>
      <c r="D34" s="557"/>
      <c r="E34" s="69">
        <v>0</v>
      </c>
      <c r="F34" s="69">
        <v>0</v>
      </c>
      <c r="G34" s="69">
        <v>0</v>
      </c>
      <c r="H34" s="162">
        <f t="shared" si="2"/>
        <v>0</v>
      </c>
      <c r="I34" s="162">
        <f t="shared" si="3"/>
        <v>0</v>
      </c>
      <c r="J34" s="67"/>
    </row>
    <row r="35" spans="2:18">
      <c r="B35" s="105"/>
      <c r="C35" s="557" t="s">
        <v>43</v>
      </c>
      <c r="D35" s="557"/>
      <c r="E35" s="69">
        <v>0</v>
      </c>
      <c r="F35" s="69">
        <v>0</v>
      </c>
      <c r="G35" s="69">
        <v>0</v>
      </c>
      <c r="H35" s="162">
        <f t="shared" si="2"/>
        <v>0</v>
      </c>
      <c r="I35" s="162">
        <f t="shared" si="3"/>
        <v>0</v>
      </c>
      <c r="J35" s="67"/>
    </row>
    <row r="36" spans="2:18">
      <c r="B36" s="105"/>
      <c r="C36" s="557" t="s">
        <v>45</v>
      </c>
      <c r="D36" s="557"/>
      <c r="E36" s="69">
        <v>0</v>
      </c>
      <c r="F36" s="69">
        <v>0</v>
      </c>
      <c r="G36" s="69">
        <v>0</v>
      </c>
      <c r="H36" s="162">
        <f t="shared" si="2"/>
        <v>0</v>
      </c>
      <c r="I36" s="162">
        <f>H36-E36</f>
        <v>0</v>
      </c>
      <c r="J36" s="67"/>
    </row>
    <row r="37" spans="2:18">
      <c r="B37" s="105"/>
      <c r="C37" s="138"/>
      <c r="D37" s="138"/>
      <c r="E37" s="163"/>
      <c r="F37" s="161"/>
      <c r="G37" s="161"/>
      <c r="H37" s="161"/>
      <c r="I37" s="161"/>
      <c r="J37" s="67"/>
    </row>
    <row r="38" spans="2:18">
      <c r="B38" s="109"/>
      <c r="C38" s="558" t="s">
        <v>49</v>
      </c>
      <c r="D38" s="558"/>
      <c r="E38" s="159">
        <f>E16+E26</f>
        <v>53638858.700000003</v>
      </c>
      <c r="F38" s="159">
        <f>F16+F26</f>
        <v>101423469.56</v>
      </c>
      <c r="G38" s="159">
        <f>G16+G26</f>
        <v>99270286.439999998</v>
      </c>
      <c r="H38" s="159">
        <f>H16+H26</f>
        <v>55792041.82</v>
      </c>
      <c r="I38" s="159">
        <f>I16+I26</f>
        <v>2153183.1199999973</v>
      </c>
      <c r="J38" s="156"/>
    </row>
    <row r="39" spans="2:18">
      <c r="B39" s="559"/>
      <c r="C39" s="560"/>
      <c r="D39" s="560"/>
      <c r="E39" s="560"/>
      <c r="F39" s="560"/>
      <c r="G39" s="560"/>
      <c r="H39" s="560"/>
      <c r="I39" s="560"/>
      <c r="J39" s="561"/>
    </row>
    <row r="40" spans="2:18">
      <c r="B40" s="164"/>
      <c r="C40" s="165"/>
      <c r="D40" s="166"/>
      <c r="F40" s="164"/>
      <c r="G40" s="164"/>
      <c r="H40" s="164"/>
      <c r="I40" s="164"/>
      <c r="J40" s="164"/>
    </row>
    <row r="41" spans="2:18">
      <c r="B41" s="49"/>
      <c r="C41" s="534" t="s">
        <v>65</v>
      </c>
      <c r="D41" s="534"/>
      <c r="E41" s="534"/>
      <c r="F41" s="534"/>
      <c r="G41" s="534"/>
      <c r="H41" s="534"/>
      <c r="I41" s="534"/>
      <c r="J41" s="70"/>
      <c r="K41" s="70"/>
      <c r="L41" s="49"/>
      <c r="M41" s="49"/>
      <c r="N41" s="49"/>
      <c r="O41" s="49"/>
      <c r="P41" s="49"/>
      <c r="Q41" s="49"/>
      <c r="R41" s="49"/>
    </row>
    <row r="42" spans="2:18">
      <c r="B42" s="49"/>
      <c r="C42" s="70"/>
      <c r="D42" s="88"/>
      <c r="E42" s="89"/>
      <c r="F42" s="89"/>
      <c r="G42" s="49"/>
      <c r="H42" s="90"/>
      <c r="I42" s="88"/>
      <c r="J42" s="89"/>
      <c r="K42" s="89"/>
      <c r="L42" s="49"/>
      <c r="M42" s="49"/>
      <c r="N42" s="49"/>
      <c r="O42" s="49"/>
      <c r="P42" s="49"/>
      <c r="Q42" s="49"/>
      <c r="R42" s="49"/>
    </row>
    <row r="43" spans="2:18">
      <c r="B43" s="49"/>
      <c r="C43" s="562"/>
      <c r="D43" s="562"/>
      <c r="E43" s="89"/>
      <c r="F43" s="556"/>
      <c r="G43" s="556"/>
      <c r="H43" s="556"/>
      <c r="I43" s="556"/>
      <c r="J43" s="89"/>
      <c r="K43" s="89"/>
      <c r="L43" s="49"/>
      <c r="M43" s="49"/>
      <c r="N43" s="49"/>
      <c r="O43" s="49"/>
      <c r="P43" s="49"/>
      <c r="Q43" s="49"/>
      <c r="R43" s="49"/>
    </row>
    <row r="44" spans="2:18">
      <c r="B44" s="49"/>
      <c r="C44" s="531" t="s">
        <v>437</v>
      </c>
      <c r="D44" s="531"/>
      <c r="E44" s="54"/>
      <c r="F44" s="531" t="s">
        <v>422</v>
      </c>
      <c r="G44" s="531"/>
      <c r="H44" s="531"/>
      <c r="I44" s="531"/>
      <c r="J44" s="93"/>
      <c r="K44" s="49"/>
      <c r="Q44" s="49"/>
      <c r="R44" s="49"/>
    </row>
    <row r="45" spans="2:18">
      <c r="B45" s="49"/>
      <c r="C45" s="529" t="s">
        <v>438</v>
      </c>
      <c r="D45" s="529"/>
      <c r="E45" s="167"/>
      <c r="F45" s="546" t="s">
        <v>423</v>
      </c>
      <c r="G45" s="546"/>
      <c r="H45" s="546"/>
      <c r="I45" s="546"/>
      <c r="J45" s="93"/>
      <c r="K45" s="49"/>
      <c r="Q45" s="49"/>
      <c r="R45" s="49"/>
    </row>
    <row r="46" spans="2:18">
      <c r="C46" s="49"/>
      <c r="D46" s="49"/>
      <c r="E46" s="57"/>
      <c r="F46" s="49"/>
      <c r="G46" s="49"/>
      <c r="H46" s="49"/>
    </row>
    <row r="47" spans="2:18" hidden="1">
      <c r="C47" s="49"/>
      <c r="D47" s="49"/>
      <c r="E47" s="57"/>
      <c r="F47" s="49"/>
      <c r="G47" s="49"/>
      <c r="H47" s="49"/>
    </row>
  </sheetData>
  <mergeCells count="41">
    <mergeCell ref="D5:H5"/>
    <mergeCell ref="D1:F1"/>
    <mergeCell ref="G1:I1"/>
    <mergeCell ref="K1:L1"/>
    <mergeCell ref="D3:H3"/>
    <mergeCell ref="D4:H4"/>
    <mergeCell ref="C20:D20"/>
    <mergeCell ref="D6:H6"/>
    <mergeCell ref="D7:H7"/>
    <mergeCell ref="B8:J8"/>
    <mergeCell ref="B9:J9"/>
    <mergeCell ref="C10:D11"/>
    <mergeCell ref="B12:J12"/>
    <mergeCell ref="B13:J13"/>
    <mergeCell ref="C14:D14"/>
    <mergeCell ref="C16:D16"/>
    <mergeCell ref="C18:D18"/>
    <mergeCell ref="C19:D19"/>
    <mergeCell ref="C34:D34"/>
    <mergeCell ref="C21:D21"/>
    <mergeCell ref="C22:D22"/>
    <mergeCell ref="C23:D23"/>
    <mergeCell ref="C24:D24"/>
    <mergeCell ref="C26:D26"/>
    <mergeCell ref="C28:D28"/>
    <mergeCell ref="C29:D29"/>
    <mergeCell ref="C30:D30"/>
    <mergeCell ref="C31:D31"/>
    <mergeCell ref="C32:D32"/>
    <mergeCell ref="C33:D33"/>
    <mergeCell ref="C44:D44"/>
    <mergeCell ref="F44:I44"/>
    <mergeCell ref="C45:D45"/>
    <mergeCell ref="F45:I45"/>
    <mergeCell ref="C35:D35"/>
    <mergeCell ref="C36:D36"/>
    <mergeCell ref="C38:D38"/>
    <mergeCell ref="B39:J39"/>
    <mergeCell ref="C41:I41"/>
    <mergeCell ref="C43:D43"/>
    <mergeCell ref="F43:I43"/>
  </mergeCells>
  <pageMargins left="0.70866141732283472" right="0.70866141732283472" top="0.74803149606299213" bottom="0.74803149606299213" header="0.31496062992125984" footer="0.31496062992125984"/>
  <pageSetup scale="74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WVT52"/>
  <sheetViews>
    <sheetView showGridLines="0" topLeftCell="A25" zoomScale="80" zoomScaleNormal="80" workbookViewId="0">
      <selection activeCell="H50" sqref="H50:I50"/>
    </sheetView>
  </sheetViews>
  <sheetFormatPr baseColWidth="10" defaultColWidth="0" defaultRowHeight="15" customHeight="1" zeroHeight="1"/>
  <cols>
    <col min="1" max="1" width="2.42578125" customWidth="1"/>
    <col min="2" max="2" width="3" customWidth="1"/>
    <col min="3" max="4" width="11.42578125" customWidth="1"/>
    <col min="5" max="5" width="23.5703125" customWidth="1"/>
    <col min="6" max="6" width="2.85546875" customWidth="1"/>
    <col min="7" max="10" width="21" customWidth="1"/>
    <col min="11" max="11" width="2.7109375" customWidth="1"/>
    <col min="12" max="12" width="3.7109375" customWidth="1"/>
    <col min="19" max="256" width="11.42578125" hidden="1"/>
    <col min="257" max="257" width="2.42578125" customWidth="1"/>
    <col min="258" max="258" width="3" customWidth="1"/>
    <col min="259" max="260" width="11.42578125" customWidth="1"/>
    <col min="261" max="261" width="23.5703125" customWidth="1"/>
    <col min="262" max="262" width="2.85546875" customWidth="1"/>
    <col min="263" max="266" width="21" customWidth="1"/>
    <col min="267" max="267" width="2.7109375" customWidth="1"/>
    <col min="268" max="268" width="3.7109375" customWidth="1"/>
    <col min="269" max="512" width="11.42578125" hidden="1"/>
    <col min="513" max="513" width="2.42578125" customWidth="1"/>
    <col min="514" max="514" width="3" customWidth="1"/>
    <col min="515" max="516" width="11.42578125" customWidth="1"/>
    <col min="517" max="517" width="23.5703125" customWidth="1"/>
    <col min="518" max="518" width="2.85546875" customWidth="1"/>
    <col min="519" max="522" width="21" customWidth="1"/>
    <col min="523" max="523" width="2.7109375" customWidth="1"/>
    <col min="524" max="524" width="3.7109375" customWidth="1"/>
    <col min="525" max="768" width="11.42578125" hidden="1"/>
    <col min="769" max="769" width="2.42578125" customWidth="1"/>
    <col min="770" max="770" width="3" customWidth="1"/>
    <col min="771" max="772" width="11.42578125" customWidth="1"/>
    <col min="773" max="773" width="23.5703125" customWidth="1"/>
    <col min="774" max="774" width="2.85546875" customWidth="1"/>
    <col min="775" max="778" width="21" customWidth="1"/>
    <col min="779" max="779" width="2.7109375" customWidth="1"/>
    <col min="780" max="780" width="3.7109375" customWidth="1"/>
    <col min="781" max="1024" width="11.42578125" hidden="1"/>
    <col min="1025" max="1025" width="2.42578125" customWidth="1"/>
    <col min="1026" max="1026" width="3" customWidth="1"/>
    <col min="1027" max="1028" width="11.42578125" customWidth="1"/>
    <col min="1029" max="1029" width="23.5703125" customWidth="1"/>
    <col min="1030" max="1030" width="2.85546875" customWidth="1"/>
    <col min="1031" max="1034" width="21" customWidth="1"/>
    <col min="1035" max="1035" width="2.7109375" customWidth="1"/>
    <col min="1036" max="1036" width="3.7109375" customWidth="1"/>
    <col min="1037" max="1280" width="11.42578125" hidden="1"/>
    <col min="1281" max="1281" width="2.42578125" customWidth="1"/>
    <col min="1282" max="1282" width="3" customWidth="1"/>
    <col min="1283" max="1284" width="11.42578125" customWidth="1"/>
    <col min="1285" max="1285" width="23.5703125" customWidth="1"/>
    <col min="1286" max="1286" width="2.85546875" customWidth="1"/>
    <col min="1287" max="1290" width="21" customWidth="1"/>
    <col min="1291" max="1291" width="2.7109375" customWidth="1"/>
    <col min="1292" max="1292" width="3.7109375" customWidth="1"/>
    <col min="1293" max="1536" width="11.42578125" hidden="1"/>
    <col min="1537" max="1537" width="2.42578125" customWidth="1"/>
    <col min="1538" max="1538" width="3" customWidth="1"/>
    <col min="1539" max="1540" width="11.42578125" customWidth="1"/>
    <col min="1541" max="1541" width="23.5703125" customWidth="1"/>
    <col min="1542" max="1542" width="2.85546875" customWidth="1"/>
    <col min="1543" max="1546" width="21" customWidth="1"/>
    <col min="1547" max="1547" width="2.7109375" customWidth="1"/>
    <col min="1548" max="1548" width="3.7109375" customWidth="1"/>
    <col min="1549" max="1792" width="11.42578125" hidden="1"/>
    <col min="1793" max="1793" width="2.42578125" customWidth="1"/>
    <col min="1794" max="1794" width="3" customWidth="1"/>
    <col min="1795" max="1796" width="11.42578125" customWidth="1"/>
    <col min="1797" max="1797" width="23.5703125" customWidth="1"/>
    <col min="1798" max="1798" width="2.85546875" customWidth="1"/>
    <col min="1799" max="1802" width="21" customWidth="1"/>
    <col min="1803" max="1803" width="2.7109375" customWidth="1"/>
    <col min="1804" max="1804" width="3.7109375" customWidth="1"/>
    <col min="1805" max="2048" width="11.42578125" hidden="1"/>
    <col min="2049" max="2049" width="2.42578125" customWidth="1"/>
    <col min="2050" max="2050" width="3" customWidth="1"/>
    <col min="2051" max="2052" width="11.42578125" customWidth="1"/>
    <col min="2053" max="2053" width="23.5703125" customWidth="1"/>
    <col min="2054" max="2054" width="2.85546875" customWidth="1"/>
    <col min="2055" max="2058" width="21" customWidth="1"/>
    <col min="2059" max="2059" width="2.7109375" customWidth="1"/>
    <col min="2060" max="2060" width="3.7109375" customWidth="1"/>
    <col min="2061" max="2304" width="11.42578125" hidden="1"/>
    <col min="2305" max="2305" width="2.42578125" customWidth="1"/>
    <col min="2306" max="2306" width="3" customWidth="1"/>
    <col min="2307" max="2308" width="11.42578125" customWidth="1"/>
    <col min="2309" max="2309" width="23.5703125" customWidth="1"/>
    <col min="2310" max="2310" width="2.85546875" customWidth="1"/>
    <col min="2311" max="2314" width="21" customWidth="1"/>
    <col min="2315" max="2315" width="2.7109375" customWidth="1"/>
    <col min="2316" max="2316" width="3.7109375" customWidth="1"/>
    <col min="2317" max="2560" width="11.42578125" hidden="1"/>
    <col min="2561" max="2561" width="2.42578125" customWidth="1"/>
    <col min="2562" max="2562" width="3" customWidth="1"/>
    <col min="2563" max="2564" width="11.42578125" customWidth="1"/>
    <col min="2565" max="2565" width="23.5703125" customWidth="1"/>
    <col min="2566" max="2566" width="2.85546875" customWidth="1"/>
    <col min="2567" max="2570" width="21" customWidth="1"/>
    <col min="2571" max="2571" width="2.7109375" customWidth="1"/>
    <col min="2572" max="2572" width="3.7109375" customWidth="1"/>
    <col min="2573" max="2816" width="11.42578125" hidden="1"/>
    <col min="2817" max="2817" width="2.42578125" customWidth="1"/>
    <col min="2818" max="2818" width="3" customWidth="1"/>
    <col min="2819" max="2820" width="11.42578125" customWidth="1"/>
    <col min="2821" max="2821" width="23.5703125" customWidth="1"/>
    <col min="2822" max="2822" width="2.85546875" customWidth="1"/>
    <col min="2823" max="2826" width="21" customWidth="1"/>
    <col min="2827" max="2827" width="2.7109375" customWidth="1"/>
    <col min="2828" max="2828" width="3.7109375" customWidth="1"/>
    <col min="2829" max="3072" width="11.42578125" hidden="1"/>
    <col min="3073" max="3073" width="2.42578125" customWidth="1"/>
    <col min="3074" max="3074" width="3" customWidth="1"/>
    <col min="3075" max="3076" width="11.42578125" customWidth="1"/>
    <col min="3077" max="3077" width="23.5703125" customWidth="1"/>
    <col min="3078" max="3078" width="2.85546875" customWidth="1"/>
    <col min="3079" max="3082" width="21" customWidth="1"/>
    <col min="3083" max="3083" width="2.7109375" customWidth="1"/>
    <col min="3084" max="3084" width="3.7109375" customWidth="1"/>
    <col min="3085" max="3328" width="11.42578125" hidden="1"/>
    <col min="3329" max="3329" width="2.42578125" customWidth="1"/>
    <col min="3330" max="3330" width="3" customWidth="1"/>
    <col min="3331" max="3332" width="11.42578125" customWidth="1"/>
    <col min="3333" max="3333" width="23.5703125" customWidth="1"/>
    <col min="3334" max="3334" width="2.85546875" customWidth="1"/>
    <col min="3335" max="3338" width="21" customWidth="1"/>
    <col min="3339" max="3339" width="2.7109375" customWidth="1"/>
    <col min="3340" max="3340" width="3.7109375" customWidth="1"/>
    <col min="3341" max="3584" width="11.42578125" hidden="1"/>
    <col min="3585" max="3585" width="2.42578125" customWidth="1"/>
    <col min="3586" max="3586" width="3" customWidth="1"/>
    <col min="3587" max="3588" width="11.42578125" customWidth="1"/>
    <col min="3589" max="3589" width="23.5703125" customWidth="1"/>
    <col min="3590" max="3590" width="2.85546875" customWidth="1"/>
    <col min="3591" max="3594" width="21" customWidth="1"/>
    <col min="3595" max="3595" width="2.7109375" customWidth="1"/>
    <col min="3596" max="3596" width="3.7109375" customWidth="1"/>
    <col min="3597" max="3840" width="11.42578125" hidden="1"/>
    <col min="3841" max="3841" width="2.42578125" customWidth="1"/>
    <col min="3842" max="3842" width="3" customWidth="1"/>
    <col min="3843" max="3844" width="11.42578125" customWidth="1"/>
    <col min="3845" max="3845" width="23.5703125" customWidth="1"/>
    <col min="3846" max="3846" width="2.85546875" customWidth="1"/>
    <col min="3847" max="3850" width="21" customWidth="1"/>
    <col min="3851" max="3851" width="2.7109375" customWidth="1"/>
    <col min="3852" max="3852" width="3.7109375" customWidth="1"/>
    <col min="3853" max="4096" width="11.42578125" hidden="1"/>
    <col min="4097" max="4097" width="2.42578125" customWidth="1"/>
    <col min="4098" max="4098" width="3" customWidth="1"/>
    <col min="4099" max="4100" width="11.42578125" customWidth="1"/>
    <col min="4101" max="4101" width="23.5703125" customWidth="1"/>
    <col min="4102" max="4102" width="2.85546875" customWidth="1"/>
    <col min="4103" max="4106" width="21" customWidth="1"/>
    <col min="4107" max="4107" width="2.7109375" customWidth="1"/>
    <col min="4108" max="4108" width="3.7109375" customWidth="1"/>
    <col min="4109" max="4352" width="11.42578125" hidden="1"/>
    <col min="4353" max="4353" width="2.42578125" customWidth="1"/>
    <col min="4354" max="4354" width="3" customWidth="1"/>
    <col min="4355" max="4356" width="11.42578125" customWidth="1"/>
    <col min="4357" max="4357" width="23.5703125" customWidth="1"/>
    <col min="4358" max="4358" width="2.85546875" customWidth="1"/>
    <col min="4359" max="4362" width="21" customWidth="1"/>
    <col min="4363" max="4363" width="2.7109375" customWidth="1"/>
    <col min="4364" max="4364" width="3.7109375" customWidth="1"/>
    <col min="4365" max="4608" width="11.42578125" hidden="1"/>
    <col min="4609" max="4609" width="2.42578125" customWidth="1"/>
    <col min="4610" max="4610" width="3" customWidth="1"/>
    <col min="4611" max="4612" width="11.42578125" customWidth="1"/>
    <col min="4613" max="4613" width="23.5703125" customWidth="1"/>
    <col min="4614" max="4614" width="2.85546875" customWidth="1"/>
    <col min="4615" max="4618" width="21" customWidth="1"/>
    <col min="4619" max="4619" width="2.7109375" customWidth="1"/>
    <col min="4620" max="4620" width="3.7109375" customWidth="1"/>
    <col min="4621" max="4864" width="11.42578125" hidden="1"/>
    <col min="4865" max="4865" width="2.42578125" customWidth="1"/>
    <col min="4866" max="4866" width="3" customWidth="1"/>
    <col min="4867" max="4868" width="11.42578125" customWidth="1"/>
    <col min="4869" max="4869" width="23.5703125" customWidth="1"/>
    <col min="4870" max="4870" width="2.85546875" customWidth="1"/>
    <col min="4871" max="4874" width="21" customWidth="1"/>
    <col min="4875" max="4875" width="2.7109375" customWidth="1"/>
    <col min="4876" max="4876" width="3.7109375" customWidth="1"/>
    <col min="4877" max="5120" width="11.42578125" hidden="1"/>
    <col min="5121" max="5121" width="2.42578125" customWidth="1"/>
    <col min="5122" max="5122" width="3" customWidth="1"/>
    <col min="5123" max="5124" width="11.42578125" customWidth="1"/>
    <col min="5125" max="5125" width="23.5703125" customWidth="1"/>
    <col min="5126" max="5126" width="2.85546875" customWidth="1"/>
    <col min="5127" max="5130" width="21" customWidth="1"/>
    <col min="5131" max="5131" width="2.7109375" customWidth="1"/>
    <col min="5132" max="5132" width="3.7109375" customWidth="1"/>
    <col min="5133" max="5376" width="11.42578125" hidden="1"/>
    <col min="5377" max="5377" width="2.42578125" customWidth="1"/>
    <col min="5378" max="5378" width="3" customWidth="1"/>
    <col min="5379" max="5380" width="11.42578125" customWidth="1"/>
    <col min="5381" max="5381" width="23.5703125" customWidth="1"/>
    <col min="5382" max="5382" width="2.85546875" customWidth="1"/>
    <col min="5383" max="5386" width="21" customWidth="1"/>
    <col min="5387" max="5387" width="2.7109375" customWidth="1"/>
    <col min="5388" max="5388" width="3.7109375" customWidth="1"/>
    <col min="5389" max="5632" width="11.42578125" hidden="1"/>
    <col min="5633" max="5633" width="2.42578125" customWidth="1"/>
    <col min="5634" max="5634" width="3" customWidth="1"/>
    <col min="5635" max="5636" width="11.42578125" customWidth="1"/>
    <col min="5637" max="5637" width="23.5703125" customWidth="1"/>
    <col min="5638" max="5638" width="2.85546875" customWidth="1"/>
    <col min="5639" max="5642" width="21" customWidth="1"/>
    <col min="5643" max="5643" width="2.7109375" customWidth="1"/>
    <col min="5644" max="5644" width="3.7109375" customWidth="1"/>
    <col min="5645" max="5888" width="11.42578125" hidden="1"/>
    <col min="5889" max="5889" width="2.42578125" customWidth="1"/>
    <col min="5890" max="5890" width="3" customWidth="1"/>
    <col min="5891" max="5892" width="11.42578125" customWidth="1"/>
    <col min="5893" max="5893" width="23.5703125" customWidth="1"/>
    <col min="5894" max="5894" width="2.85546875" customWidth="1"/>
    <col min="5895" max="5898" width="21" customWidth="1"/>
    <col min="5899" max="5899" width="2.7109375" customWidth="1"/>
    <col min="5900" max="5900" width="3.7109375" customWidth="1"/>
    <col min="5901" max="6144" width="11.42578125" hidden="1"/>
    <col min="6145" max="6145" width="2.42578125" customWidth="1"/>
    <col min="6146" max="6146" width="3" customWidth="1"/>
    <col min="6147" max="6148" width="11.42578125" customWidth="1"/>
    <col min="6149" max="6149" width="23.5703125" customWidth="1"/>
    <col min="6150" max="6150" width="2.85546875" customWidth="1"/>
    <col min="6151" max="6154" width="21" customWidth="1"/>
    <col min="6155" max="6155" width="2.7109375" customWidth="1"/>
    <col min="6156" max="6156" width="3.7109375" customWidth="1"/>
    <col min="6157" max="6400" width="11.42578125" hidden="1"/>
    <col min="6401" max="6401" width="2.42578125" customWidth="1"/>
    <col min="6402" max="6402" width="3" customWidth="1"/>
    <col min="6403" max="6404" width="11.42578125" customWidth="1"/>
    <col min="6405" max="6405" width="23.5703125" customWidth="1"/>
    <col min="6406" max="6406" width="2.85546875" customWidth="1"/>
    <col min="6407" max="6410" width="21" customWidth="1"/>
    <col min="6411" max="6411" width="2.7109375" customWidth="1"/>
    <col min="6412" max="6412" width="3.7109375" customWidth="1"/>
    <col min="6413" max="6656" width="11.42578125" hidden="1"/>
    <col min="6657" max="6657" width="2.42578125" customWidth="1"/>
    <col min="6658" max="6658" width="3" customWidth="1"/>
    <col min="6659" max="6660" width="11.42578125" customWidth="1"/>
    <col min="6661" max="6661" width="23.5703125" customWidth="1"/>
    <col min="6662" max="6662" width="2.85546875" customWidth="1"/>
    <col min="6663" max="6666" width="21" customWidth="1"/>
    <col min="6667" max="6667" width="2.7109375" customWidth="1"/>
    <col min="6668" max="6668" width="3.7109375" customWidth="1"/>
    <col min="6669" max="6912" width="11.42578125" hidden="1"/>
    <col min="6913" max="6913" width="2.42578125" customWidth="1"/>
    <col min="6914" max="6914" width="3" customWidth="1"/>
    <col min="6915" max="6916" width="11.42578125" customWidth="1"/>
    <col min="6917" max="6917" width="23.5703125" customWidth="1"/>
    <col min="6918" max="6918" width="2.85546875" customWidth="1"/>
    <col min="6919" max="6922" width="21" customWidth="1"/>
    <col min="6923" max="6923" width="2.7109375" customWidth="1"/>
    <col min="6924" max="6924" width="3.7109375" customWidth="1"/>
    <col min="6925" max="7168" width="11.42578125" hidden="1"/>
    <col min="7169" max="7169" width="2.42578125" customWidth="1"/>
    <col min="7170" max="7170" width="3" customWidth="1"/>
    <col min="7171" max="7172" width="11.42578125" customWidth="1"/>
    <col min="7173" max="7173" width="23.5703125" customWidth="1"/>
    <col min="7174" max="7174" width="2.85546875" customWidth="1"/>
    <col min="7175" max="7178" width="21" customWidth="1"/>
    <col min="7179" max="7179" width="2.7109375" customWidth="1"/>
    <col min="7180" max="7180" width="3.7109375" customWidth="1"/>
    <col min="7181" max="7424" width="11.42578125" hidden="1"/>
    <col min="7425" max="7425" width="2.42578125" customWidth="1"/>
    <col min="7426" max="7426" width="3" customWidth="1"/>
    <col min="7427" max="7428" width="11.42578125" customWidth="1"/>
    <col min="7429" max="7429" width="23.5703125" customWidth="1"/>
    <col min="7430" max="7430" width="2.85546875" customWidth="1"/>
    <col min="7431" max="7434" width="21" customWidth="1"/>
    <col min="7435" max="7435" width="2.7109375" customWidth="1"/>
    <col min="7436" max="7436" width="3.7109375" customWidth="1"/>
    <col min="7437" max="7680" width="11.42578125" hidden="1"/>
    <col min="7681" max="7681" width="2.42578125" customWidth="1"/>
    <col min="7682" max="7682" width="3" customWidth="1"/>
    <col min="7683" max="7684" width="11.42578125" customWidth="1"/>
    <col min="7685" max="7685" width="23.5703125" customWidth="1"/>
    <col min="7686" max="7686" width="2.85546875" customWidth="1"/>
    <col min="7687" max="7690" width="21" customWidth="1"/>
    <col min="7691" max="7691" width="2.7109375" customWidth="1"/>
    <col min="7692" max="7692" width="3.7109375" customWidth="1"/>
    <col min="7693" max="7936" width="11.42578125" hidden="1"/>
    <col min="7937" max="7937" width="2.42578125" customWidth="1"/>
    <col min="7938" max="7938" width="3" customWidth="1"/>
    <col min="7939" max="7940" width="11.42578125" customWidth="1"/>
    <col min="7941" max="7941" width="23.5703125" customWidth="1"/>
    <col min="7942" max="7942" width="2.85546875" customWidth="1"/>
    <col min="7943" max="7946" width="21" customWidth="1"/>
    <col min="7947" max="7947" width="2.7109375" customWidth="1"/>
    <col min="7948" max="7948" width="3.7109375" customWidth="1"/>
    <col min="7949" max="8192" width="11.42578125" hidden="1"/>
    <col min="8193" max="8193" width="2.42578125" customWidth="1"/>
    <col min="8194" max="8194" width="3" customWidth="1"/>
    <col min="8195" max="8196" width="11.42578125" customWidth="1"/>
    <col min="8197" max="8197" width="23.5703125" customWidth="1"/>
    <col min="8198" max="8198" width="2.85546875" customWidth="1"/>
    <col min="8199" max="8202" width="21" customWidth="1"/>
    <col min="8203" max="8203" width="2.7109375" customWidth="1"/>
    <col min="8204" max="8204" width="3.7109375" customWidth="1"/>
    <col min="8205" max="8448" width="11.42578125" hidden="1"/>
    <col min="8449" max="8449" width="2.42578125" customWidth="1"/>
    <col min="8450" max="8450" width="3" customWidth="1"/>
    <col min="8451" max="8452" width="11.42578125" customWidth="1"/>
    <col min="8453" max="8453" width="23.5703125" customWidth="1"/>
    <col min="8454" max="8454" width="2.85546875" customWidth="1"/>
    <col min="8455" max="8458" width="21" customWidth="1"/>
    <col min="8459" max="8459" width="2.7109375" customWidth="1"/>
    <col min="8460" max="8460" width="3.7109375" customWidth="1"/>
    <col min="8461" max="8704" width="11.42578125" hidden="1"/>
    <col min="8705" max="8705" width="2.42578125" customWidth="1"/>
    <col min="8706" max="8706" width="3" customWidth="1"/>
    <col min="8707" max="8708" width="11.42578125" customWidth="1"/>
    <col min="8709" max="8709" width="23.5703125" customWidth="1"/>
    <col min="8710" max="8710" width="2.85546875" customWidth="1"/>
    <col min="8711" max="8714" width="21" customWidth="1"/>
    <col min="8715" max="8715" width="2.7109375" customWidth="1"/>
    <col min="8716" max="8716" width="3.7109375" customWidth="1"/>
    <col min="8717" max="8960" width="11.42578125" hidden="1"/>
    <col min="8961" max="8961" width="2.42578125" customWidth="1"/>
    <col min="8962" max="8962" width="3" customWidth="1"/>
    <col min="8963" max="8964" width="11.42578125" customWidth="1"/>
    <col min="8965" max="8965" width="23.5703125" customWidth="1"/>
    <col min="8966" max="8966" width="2.85546875" customWidth="1"/>
    <col min="8967" max="8970" width="21" customWidth="1"/>
    <col min="8971" max="8971" width="2.7109375" customWidth="1"/>
    <col min="8972" max="8972" width="3.7109375" customWidth="1"/>
    <col min="8973" max="9216" width="11.42578125" hidden="1"/>
    <col min="9217" max="9217" width="2.42578125" customWidth="1"/>
    <col min="9218" max="9218" width="3" customWidth="1"/>
    <col min="9219" max="9220" width="11.42578125" customWidth="1"/>
    <col min="9221" max="9221" width="23.5703125" customWidth="1"/>
    <col min="9222" max="9222" width="2.85546875" customWidth="1"/>
    <col min="9223" max="9226" width="21" customWidth="1"/>
    <col min="9227" max="9227" width="2.7109375" customWidth="1"/>
    <col min="9228" max="9228" width="3.7109375" customWidth="1"/>
    <col min="9229" max="9472" width="11.42578125" hidden="1"/>
    <col min="9473" max="9473" width="2.42578125" customWidth="1"/>
    <col min="9474" max="9474" width="3" customWidth="1"/>
    <col min="9475" max="9476" width="11.42578125" customWidth="1"/>
    <col min="9477" max="9477" width="23.5703125" customWidth="1"/>
    <col min="9478" max="9478" width="2.85546875" customWidth="1"/>
    <col min="9479" max="9482" width="21" customWidth="1"/>
    <col min="9483" max="9483" width="2.7109375" customWidth="1"/>
    <col min="9484" max="9484" width="3.7109375" customWidth="1"/>
    <col min="9485" max="9728" width="11.42578125" hidden="1"/>
    <col min="9729" max="9729" width="2.42578125" customWidth="1"/>
    <col min="9730" max="9730" width="3" customWidth="1"/>
    <col min="9731" max="9732" width="11.42578125" customWidth="1"/>
    <col min="9733" max="9733" width="23.5703125" customWidth="1"/>
    <col min="9734" max="9734" width="2.85546875" customWidth="1"/>
    <col min="9735" max="9738" width="21" customWidth="1"/>
    <col min="9739" max="9739" width="2.7109375" customWidth="1"/>
    <col min="9740" max="9740" width="3.7109375" customWidth="1"/>
    <col min="9741" max="9984" width="11.42578125" hidden="1"/>
    <col min="9985" max="9985" width="2.42578125" customWidth="1"/>
    <col min="9986" max="9986" width="3" customWidth="1"/>
    <col min="9987" max="9988" width="11.42578125" customWidth="1"/>
    <col min="9989" max="9989" width="23.5703125" customWidth="1"/>
    <col min="9990" max="9990" width="2.85546875" customWidth="1"/>
    <col min="9991" max="9994" width="21" customWidth="1"/>
    <col min="9995" max="9995" width="2.7109375" customWidth="1"/>
    <col min="9996" max="9996" width="3.7109375" customWidth="1"/>
    <col min="9997" max="10240" width="11.42578125" hidden="1"/>
    <col min="10241" max="10241" width="2.42578125" customWidth="1"/>
    <col min="10242" max="10242" width="3" customWidth="1"/>
    <col min="10243" max="10244" width="11.42578125" customWidth="1"/>
    <col min="10245" max="10245" width="23.5703125" customWidth="1"/>
    <col min="10246" max="10246" width="2.85546875" customWidth="1"/>
    <col min="10247" max="10250" width="21" customWidth="1"/>
    <col min="10251" max="10251" width="2.7109375" customWidth="1"/>
    <col min="10252" max="10252" width="3.7109375" customWidth="1"/>
    <col min="10253" max="10496" width="11.42578125" hidden="1"/>
    <col min="10497" max="10497" width="2.42578125" customWidth="1"/>
    <col min="10498" max="10498" width="3" customWidth="1"/>
    <col min="10499" max="10500" width="11.42578125" customWidth="1"/>
    <col min="10501" max="10501" width="23.5703125" customWidth="1"/>
    <col min="10502" max="10502" width="2.85546875" customWidth="1"/>
    <col min="10503" max="10506" width="21" customWidth="1"/>
    <col min="10507" max="10507" width="2.7109375" customWidth="1"/>
    <col min="10508" max="10508" width="3.7109375" customWidth="1"/>
    <col min="10509" max="10752" width="11.42578125" hidden="1"/>
    <col min="10753" max="10753" width="2.42578125" customWidth="1"/>
    <col min="10754" max="10754" width="3" customWidth="1"/>
    <col min="10755" max="10756" width="11.42578125" customWidth="1"/>
    <col min="10757" max="10757" width="23.5703125" customWidth="1"/>
    <col min="10758" max="10758" width="2.85546875" customWidth="1"/>
    <col min="10759" max="10762" width="21" customWidth="1"/>
    <col min="10763" max="10763" width="2.7109375" customWidth="1"/>
    <col min="10764" max="10764" width="3.7109375" customWidth="1"/>
    <col min="10765" max="11008" width="11.42578125" hidden="1"/>
    <col min="11009" max="11009" width="2.42578125" customWidth="1"/>
    <col min="11010" max="11010" width="3" customWidth="1"/>
    <col min="11011" max="11012" width="11.42578125" customWidth="1"/>
    <col min="11013" max="11013" width="23.5703125" customWidth="1"/>
    <col min="11014" max="11014" width="2.85546875" customWidth="1"/>
    <col min="11015" max="11018" width="21" customWidth="1"/>
    <col min="11019" max="11019" width="2.7109375" customWidth="1"/>
    <col min="11020" max="11020" width="3.7109375" customWidth="1"/>
    <col min="11021" max="11264" width="11.42578125" hidden="1"/>
    <col min="11265" max="11265" width="2.42578125" customWidth="1"/>
    <col min="11266" max="11266" width="3" customWidth="1"/>
    <col min="11267" max="11268" width="11.42578125" customWidth="1"/>
    <col min="11269" max="11269" width="23.5703125" customWidth="1"/>
    <col min="11270" max="11270" width="2.85546875" customWidth="1"/>
    <col min="11271" max="11274" width="21" customWidth="1"/>
    <col min="11275" max="11275" width="2.7109375" customWidth="1"/>
    <col min="11276" max="11276" width="3.7109375" customWidth="1"/>
    <col min="11277" max="11520" width="11.42578125" hidden="1"/>
    <col min="11521" max="11521" width="2.42578125" customWidth="1"/>
    <col min="11522" max="11522" width="3" customWidth="1"/>
    <col min="11523" max="11524" width="11.42578125" customWidth="1"/>
    <col min="11525" max="11525" width="23.5703125" customWidth="1"/>
    <col min="11526" max="11526" width="2.85546875" customWidth="1"/>
    <col min="11527" max="11530" width="21" customWidth="1"/>
    <col min="11531" max="11531" width="2.7109375" customWidth="1"/>
    <col min="11532" max="11532" width="3.7109375" customWidth="1"/>
    <col min="11533" max="11776" width="11.42578125" hidden="1"/>
    <col min="11777" max="11777" width="2.42578125" customWidth="1"/>
    <col min="11778" max="11778" width="3" customWidth="1"/>
    <col min="11779" max="11780" width="11.42578125" customWidth="1"/>
    <col min="11781" max="11781" width="23.5703125" customWidth="1"/>
    <col min="11782" max="11782" width="2.85546875" customWidth="1"/>
    <col min="11783" max="11786" width="21" customWidth="1"/>
    <col min="11787" max="11787" width="2.7109375" customWidth="1"/>
    <col min="11788" max="11788" width="3.7109375" customWidth="1"/>
    <col min="11789" max="12032" width="11.42578125" hidden="1"/>
    <col min="12033" max="12033" width="2.42578125" customWidth="1"/>
    <col min="12034" max="12034" width="3" customWidth="1"/>
    <col min="12035" max="12036" width="11.42578125" customWidth="1"/>
    <col min="12037" max="12037" width="23.5703125" customWidth="1"/>
    <col min="12038" max="12038" width="2.85546875" customWidth="1"/>
    <col min="12039" max="12042" width="21" customWidth="1"/>
    <col min="12043" max="12043" width="2.7109375" customWidth="1"/>
    <col min="12044" max="12044" width="3.7109375" customWidth="1"/>
    <col min="12045" max="12288" width="11.42578125" hidden="1"/>
    <col min="12289" max="12289" width="2.42578125" customWidth="1"/>
    <col min="12290" max="12290" width="3" customWidth="1"/>
    <col min="12291" max="12292" width="11.42578125" customWidth="1"/>
    <col min="12293" max="12293" width="23.5703125" customWidth="1"/>
    <col min="12294" max="12294" width="2.85546875" customWidth="1"/>
    <col min="12295" max="12298" width="21" customWidth="1"/>
    <col min="12299" max="12299" width="2.7109375" customWidth="1"/>
    <col min="12300" max="12300" width="3.7109375" customWidth="1"/>
    <col min="12301" max="12544" width="11.42578125" hidden="1"/>
    <col min="12545" max="12545" width="2.42578125" customWidth="1"/>
    <col min="12546" max="12546" width="3" customWidth="1"/>
    <col min="12547" max="12548" width="11.42578125" customWidth="1"/>
    <col min="12549" max="12549" width="23.5703125" customWidth="1"/>
    <col min="12550" max="12550" width="2.85546875" customWidth="1"/>
    <col min="12551" max="12554" width="21" customWidth="1"/>
    <col min="12555" max="12555" width="2.7109375" customWidth="1"/>
    <col min="12556" max="12556" width="3.7109375" customWidth="1"/>
    <col min="12557" max="12800" width="11.42578125" hidden="1"/>
    <col min="12801" max="12801" width="2.42578125" customWidth="1"/>
    <col min="12802" max="12802" width="3" customWidth="1"/>
    <col min="12803" max="12804" width="11.42578125" customWidth="1"/>
    <col min="12805" max="12805" width="23.5703125" customWidth="1"/>
    <col min="12806" max="12806" width="2.85546875" customWidth="1"/>
    <col min="12807" max="12810" width="21" customWidth="1"/>
    <col min="12811" max="12811" width="2.7109375" customWidth="1"/>
    <col min="12812" max="12812" width="3.7109375" customWidth="1"/>
    <col min="12813" max="13056" width="11.42578125" hidden="1"/>
    <col min="13057" max="13057" width="2.42578125" customWidth="1"/>
    <col min="13058" max="13058" width="3" customWidth="1"/>
    <col min="13059" max="13060" width="11.42578125" customWidth="1"/>
    <col min="13061" max="13061" width="23.5703125" customWidth="1"/>
    <col min="13062" max="13062" width="2.85546875" customWidth="1"/>
    <col min="13063" max="13066" width="21" customWidth="1"/>
    <col min="13067" max="13067" width="2.7109375" customWidth="1"/>
    <col min="13068" max="13068" width="3.7109375" customWidth="1"/>
    <col min="13069" max="13312" width="11.42578125" hidden="1"/>
    <col min="13313" max="13313" width="2.42578125" customWidth="1"/>
    <col min="13314" max="13314" width="3" customWidth="1"/>
    <col min="13315" max="13316" width="11.42578125" customWidth="1"/>
    <col min="13317" max="13317" width="23.5703125" customWidth="1"/>
    <col min="13318" max="13318" width="2.85546875" customWidth="1"/>
    <col min="13319" max="13322" width="21" customWidth="1"/>
    <col min="13323" max="13323" width="2.7109375" customWidth="1"/>
    <col min="13324" max="13324" width="3.7109375" customWidth="1"/>
    <col min="13325" max="13568" width="11.42578125" hidden="1"/>
    <col min="13569" max="13569" width="2.42578125" customWidth="1"/>
    <col min="13570" max="13570" width="3" customWidth="1"/>
    <col min="13571" max="13572" width="11.42578125" customWidth="1"/>
    <col min="13573" max="13573" width="23.5703125" customWidth="1"/>
    <col min="13574" max="13574" width="2.85546875" customWidth="1"/>
    <col min="13575" max="13578" width="21" customWidth="1"/>
    <col min="13579" max="13579" width="2.7109375" customWidth="1"/>
    <col min="13580" max="13580" width="3.7109375" customWidth="1"/>
    <col min="13581" max="13824" width="11.42578125" hidden="1"/>
    <col min="13825" max="13825" width="2.42578125" customWidth="1"/>
    <col min="13826" max="13826" width="3" customWidth="1"/>
    <col min="13827" max="13828" width="11.42578125" customWidth="1"/>
    <col min="13829" max="13829" width="23.5703125" customWidth="1"/>
    <col min="13830" max="13830" width="2.85546875" customWidth="1"/>
    <col min="13831" max="13834" width="21" customWidth="1"/>
    <col min="13835" max="13835" width="2.7109375" customWidth="1"/>
    <col min="13836" max="13836" width="3.7109375" customWidth="1"/>
    <col min="13837" max="14080" width="11.42578125" hidden="1"/>
    <col min="14081" max="14081" width="2.42578125" customWidth="1"/>
    <col min="14082" max="14082" width="3" customWidth="1"/>
    <col min="14083" max="14084" width="11.42578125" customWidth="1"/>
    <col min="14085" max="14085" width="23.5703125" customWidth="1"/>
    <col min="14086" max="14086" width="2.85546875" customWidth="1"/>
    <col min="14087" max="14090" width="21" customWidth="1"/>
    <col min="14091" max="14091" width="2.7109375" customWidth="1"/>
    <col min="14092" max="14092" width="3.7109375" customWidth="1"/>
    <col min="14093" max="14336" width="11.42578125" hidden="1"/>
    <col min="14337" max="14337" width="2.42578125" customWidth="1"/>
    <col min="14338" max="14338" width="3" customWidth="1"/>
    <col min="14339" max="14340" width="11.42578125" customWidth="1"/>
    <col min="14341" max="14341" width="23.5703125" customWidth="1"/>
    <col min="14342" max="14342" width="2.85546875" customWidth="1"/>
    <col min="14343" max="14346" width="21" customWidth="1"/>
    <col min="14347" max="14347" width="2.7109375" customWidth="1"/>
    <col min="14348" max="14348" width="3.7109375" customWidth="1"/>
    <col min="14349" max="14592" width="11.42578125" hidden="1"/>
    <col min="14593" max="14593" width="2.42578125" customWidth="1"/>
    <col min="14594" max="14594" width="3" customWidth="1"/>
    <col min="14595" max="14596" width="11.42578125" customWidth="1"/>
    <col min="14597" max="14597" width="23.5703125" customWidth="1"/>
    <col min="14598" max="14598" width="2.85546875" customWidth="1"/>
    <col min="14599" max="14602" width="21" customWidth="1"/>
    <col min="14603" max="14603" width="2.7109375" customWidth="1"/>
    <col min="14604" max="14604" width="3.7109375" customWidth="1"/>
    <col min="14605" max="14848" width="11.42578125" hidden="1"/>
    <col min="14849" max="14849" width="2.42578125" customWidth="1"/>
    <col min="14850" max="14850" width="3" customWidth="1"/>
    <col min="14851" max="14852" width="11.42578125" customWidth="1"/>
    <col min="14853" max="14853" width="23.5703125" customWidth="1"/>
    <col min="14854" max="14854" width="2.85546875" customWidth="1"/>
    <col min="14855" max="14858" width="21" customWidth="1"/>
    <col min="14859" max="14859" width="2.7109375" customWidth="1"/>
    <col min="14860" max="14860" width="3.7109375" customWidth="1"/>
    <col min="14861" max="15104" width="11.42578125" hidden="1"/>
    <col min="15105" max="15105" width="2.42578125" customWidth="1"/>
    <col min="15106" max="15106" width="3" customWidth="1"/>
    <col min="15107" max="15108" width="11.42578125" customWidth="1"/>
    <col min="15109" max="15109" width="23.5703125" customWidth="1"/>
    <col min="15110" max="15110" width="2.85546875" customWidth="1"/>
    <col min="15111" max="15114" width="21" customWidth="1"/>
    <col min="15115" max="15115" width="2.7109375" customWidth="1"/>
    <col min="15116" max="15116" width="3.7109375" customWidth="1"/>
    <col min="15117" max="15360" width="11.42578125" hidden="1"/>
    <col min="15361" max="15361" width="2.42578125" customWidth="1"/>
    <col min="15362" max="15362" width="3" customWidth="1"/>
    <col min="15363" max="15364" width="11.42578125" customWidth="1"/>
    <col min="15365" max="15365" width="23.5703125" customWidth="1"/>
    <col min="15366" max="15366" width="2.85546875" customWidth="1"/>
    <col min="15367" max="15370" width="21" customWidth="1"/>
    <col min="15371" max="15371" width="2.7109375" customWidth="1"/>
    <col min="15372" max="15372" width="3.7109375" customWidth="1"/>
    <col min="15373" max="15616" width="11.42578125" hidden="1"/>
    <col min="15617" max="15617" width="2.42578125" customWidth="1"/>
    <col min="15618" max="15618" width="3" customWidth="1"/>
    <col min="15619" max="15620" width="11.42578125" customWidth="1"/>
    <col min="15621" max="15621" width="23.5703125" customWidth="1"/>
    <col min="15622" max="15622" width="2.85546875" customWidth="1"/>
    <col min="15623" max="15626" width="21" customWidth="1"/>
    <col min="15627" max="15627" width="2.7109375" customWidth="1"/>
    <col min="15628" max="15628" width="3.7109375" customWidth="1"/>
    <col min="15629" max="15872" width="11.42578125" hidden="1"/>
    <col min="15873" max="15873" width="2.42578125" customWidth="1"/>
    <col min="15874" max="15874" width="3" customWidth="1"/>
    <col min="15875" max="15876" width="11.42578125" customWidth="1"/>
    <col min="15877" max="15877" width="23.5703125" customWidth="1"/>
    <col min="15878" max="15878" width="2.85546875" customWidth="1"/>
    <col min="15879" max="15882" width="21" customWidth="1"/>
    <col min="15883" max="15883" width="2.7109375" customWidth="1"/>
    <col min="15884" max="15884" width="3.7109375" customWidth="1"/>
    <col min="15885" max="16128" width="11.42578125" hidden="1"/>
    <col min="16129" max="16129" width="2.42578125" customWidth="1"/>
    <col min="16130" max="16130" width="3" customWidth="1"/>
    <col min="16131" max="16132" width="11.42578125" customWidth="1"/>
    <col min="16133" max="16133" width="23.5703125" customWidth="1"/>
    <col min="16134" max="16134" width="2.85546875" customWidth="1"/>
    <col min="16135" max="16138" width="21" customWidth="1"/>
    <col min="16139" max="16139" width="2.7109375" customWidth="1"/>
    <col min="16140" max="16140" width="3.7109375" customWidth="1"/>
    <col min="16141" max="16384" width="11.42578125" hidden="1"/>
  </cols>
  <sheetData>
    <row r="1" spans="2:11" ht="8.25" customHeight="1"/>
    <row r="2" spans="2:11">
      <c r="C2" s="176"/>
      <c r="D2" s="581" t="s">
        <v>0</v>
      </c>
      <c r="E2" s="581"/>
      <c r="F2" s="581"/>
      <c r="G2" s="581"/>
      <c r="H2" s="581"/>
      <c r="I2" s="581"/>
      <c r="J2" s="176"/>
      <c r="K2" s="176"/>
    </row>
    <row r="3" spans="2:11">
      <c r="C3" s="176"/>
      <c r="D3" s="581" t="s">
        <v>177</v>
      </c>
      <c r="E3" s="581"/>
      <c r="F3" s="581"/>
      <c r="G3" s="581"/>
      <c r="H3" s="581"/>
      <c r="I3" s="581"/>
      <c r="J3" s="176"/>
      <c r="K3" s="176"/>
    </row>
    <row r="4" spans="2:11">
      <c r="C4" s="176"/>
      <c r="D4" s="581" t="s">
        <v>413</v>
      </c>
      <c r="E4" s="581"/>
      <c r="F4" s="581"/>
      <c r="G4" s="581"/>
      <c r="H4" s="581"/>
      <c r="I4" s="581"/>
      <c r="J4" s="176"/>
      <c r="K4" s="176"/>
    </row>
    <row r="5" spans="2:11">
      <c r="C5" s="176"/>
      <c r="D5" s="581" t="s">
        <v>2</v>
      </c>
      <c r="E5" s="581"/>
      <c r="F5" s="581"/>
      <c r="G5" s="581"/>
      <c r="H5" s="581"/>
      <c r="I5" s="581"/>
      <c r="J5" s="176"/>
      <c r="K5" s="176"/>
    </row>
    <row r="6" spans="2:11">
      <c r="B6" s="9"/>
      <c r="C6" s="7" t="s">
        <v>3</v>
      </c>
      <c r="D6" s="525" t="s">
        <v>4</v>
      </c>
      <c r="E6" s="525"/>
      <c r="F6" s="525"/>
      <c r="G6" s="525"/>
      <c r="H6" s="525"/>
      <c r="I6" s="525"/>
      <c r="J6" s="11"/>
      <c r="K6" s="177"/>
    </row>
    <row r="7" spans="2:11" ht="9" customHeight="1">
      <c r="B7" s="178"/>
      <c r="C7" s="524"/>
      <c r="D7" s="524"/>
      <c r="E7" s="524"/>
      <c r="F7" s="524"/>
      <c r="G7" s="524"/>
      <c r="H7" s="524"/>
      <c r="I7" s="524"/>
      <c r="J7" s="524"/>
      <c r="K7" s="524"/>
    </row>
    <row r="8" spans="2:11" ht="9" customHeight="1">
      <c r="B8" s="178"/>
      <c r="C8" s="524"/>
      <c r="D8" s="524"/>
      <c r="E8" s="524"/>
      <c r="F8" s="524"/>
      <c r="G8" s="524"/>
      <c r="H8" s="524"/>
      <c r="I8" s="524"/>
      <c r="J8" s="524"/>
      <c r="K8" s="524"/>
    </row>
    <row r="9" spans="2:11" ht="24">
      <c r="B9" s="212"/>
      <c r="C9" s="577" t="s">
        <v>178</v>
      </c>
      <c r="D9" s="577"/>
      <c r="E9" s="577"/>
      <c r="F9" s="213"/>
      <c r="G9" s="214" t="s">
        <v>179</v>
      </c>
      <c r="H9" s="214" t="s">
        <v>180</v>
      </c>
      <c r="I9" s="213" t="s">
        <v>181</v>
      </c>
      <c r="J9" s="213" t="s">
        <v>182</v>
      </c>
      <c r="K9" s="215"/>
    </row>
    <row r="10" spans="2:11" ht="7.5" customHeight="1">
      <c r="B10" s="179"/>
      <c r="C10" s="524"/>
      <c r="D10" s="524"/>
      <c r="E10" s="524"/>
      <c r="F10" s="524"/>
      <c r="G10" s="524"/>
      <c r="H10" s="524"/>
      <c r="I10" s="524"/>
      <c r="J10" s="524"/>
      <c r="K10" s="578"/>
    </row>
    <row r="11" spans="2:11" ht="7.5" customHeight="1">
      <c r="B11" s="13"/>
      <c r="C11" s="579"/>
      <c r="D11" s="579"/>
      <c r="E11" s="579"/>
      <c r="F11" s="579"/>
      <c r="G11" s="579"/>
      <c r="H11" s="579"/>
      <c r="I11" s="579"/>
      <c r="J11" s="579"/>
      <c r="K11" s="580"/>
    </row>
    <row r="12" spans="2:11">
      <c r="B12" s="13"/>
      <c r="C12" s="574" t="s">
        <v>183</v>
      </c>
      <c r="D12" s="574"/>
      <c r="E12" s="574"/>
      <c r="F12" s="180"/>
      <c r="G12" s="180"/>
      <c r="H12" s="180"/>
      <c r="I12" s="180"/>
      <c r="J12" s="180"/>
      <c r="K12" s="181"/>
    </row>
    <row r="13" spans="2:11">
      <c r="B13" s="182"/>
      <c r="C13" s="576" t="s">
        <v>184</v>
      </c>
      <c r="D13" s="576"/>
      <c r="E13" s="576"/>
      <c r="F13" s="19"/>
      <c r="G13" s="19"/>
      <c r="H13" s="19"/>
      <c r="I13" s="19"/>
      <c r="J13" s="19"/>
      <c r="K13" s="183"/>
    </row>
    <row r="14" spans="2:11">
      <c r="B14" s="182"/>
      <c r="C14" s="574" t="s">
        <v>185</v>
      </c>
      <c r="D14" s="574"/>
      <c r="E14" s="574"/>
      <c r="F14" s="19"/>
      <c r="G14" s="184"/>
      <c r="H14" s="184"/>
      <c r="I14" s="185">
        <f>SUM(I15:I17)</f>
        <v>0</v>
      </c>
      <c r="J14" s="185">
        <f>SUM(J15:J17)</f>
        <v>0</v>
      </c>
      <c r="K14" s="186"/>
    </row>
    <row r="15" spans="2:11">
      <c r="B15" s="187"/>
      <c r="C15" s="188"/>
      <c r="D15" s="530" t="s">
        <v>186</v>
      </c>
      <c r="E15" s="530"/>
      <c r="F15" s="19"/>
      <c r="G15" s="189"/>
      <c r="H15" s="189"/>
      <c r="I15" s="190">
        <v>0</v>
      </c>
      <c r="J15" s="190">
        <v>0</v>
      </c>
      <c r="K15" s="191"/>
    </row>
    <row r="16" spans="2:11">
      <c r="B16" s="187"/>
      <c r="C16" s="188"/>
      <c r="D16" s="530" t="s">
        <v>187</v>
      </c>
      <c r="E16" s="530"/>
      <c r="F16" s="19"/>
      <c r="G16" s="189"/>
      <c r="H16" s="189"/>
      <c r="I16" s="190">
        <v>0</v>
      </c>
      <c r="J16" s="190">
        <v>0</v>
      </c>
      <c r="K16" s="191"/>
    </row>
    <row r="17" spans="2:11">
      <c r="B17" s="187"/>
      <c r="C17" s="188"/>
      <c r="D17" s="530" t="s">
        <v>188</v>
      </c>
      <c r="E17" s="530"/>
      <c r="F17" s="19"/>
      <c r="G17" s="189"/>
      <c r="H17" s="189"/>
      <c r="I17" s="190">
        <v>0</v>
      </c>
      <c r="J17" s="190">
        <v>0</v>
      </c>
      <c r="K17" s="191"/>
    </row>
    <row r="18" spans="2:11">
      <c r="B18" s="187"/>
      <c r="C18" s="188"/>
      <c r="D18" s="188"/>
      <c r="E18" s="17"/>
      <c r="F18" s="19"/>
      <c r="G18" s="192"/>
      <c r="H18" s="192"/>
      <c r="I18" s="193"/>
      <c r="J18" s="193"/>
      <c r="K18" s="191"/>
    </row>
    <row r="19" spans="2:11">
      <c r="B19" s="182"/>
      <c r="C19" s="574" t="s">
        <v>189</v>
      </c>
      <c r="D19" s="574"/>
      <c r="E19" s="574"/>
      <c r="F19" s="19"/>
      <c r="G19" s="184"/>
      <c r="H19" s="184"/>
      <c r="I19" s="185">
        <f>SUM(I20:I23)</f>
        <v>0</v>
      </c>
      <c r="J19" s="185">
        <f>SUM(J20:J23)</f>
        <v>0</v>
      </c>
      <c r="K19" s="186"/>
    </row>
    <row r="20" spans="2:11">
      <c r="B20" s="187"/>
      <c r="C20" s="188"/>
      <c r="D20" s="530" t="s">
        <v>190</v>
      </c>
      <c r="E20" s="530"/>
      <c r="F20" s="19"/>
      <c r="G20" s="189"/>
      <c r="H20" s="189"/>
      <c r="I20" s="190">
        <v>0</v>
      </c>
      <c r="J20" s="190">
        <v>0</v>
      </c>
      <c r="K20" s="191"/>
    </row>
    <row r="21" spans="2:11">
      <c r="B21" s="187"/>
      <c r="C21" s="188"/>
      <c r="D21" s="530" t="s">
        <v>191</v>
      </c>
      <c r="E21" s="530"/>
      <c r="F21" s="19"/>
      <c r="G21" s="189"/>
      <c r="H21" s="189"/>
      <c r="I21" s="190">
        <v>0</v>
      </c>
      <c r="J21" s="190">
        <v>0</v>
      </c>
      <c r="K21" s="191"/>
    </row>
    <row r="22" spans="2:11">
      <c r="B22" s="187"/>
      <c r="C22" s="188"/>
      <c r="D22" s="530" t="s">
        <v>187</v>
      </c>
      <c r="E22" s="530"/>
      <c r="F22" s="19"/>
      <c r="G22" s="189"/>
      <c r="H22" s="189"/>
      <c r="I22" s="190">
        <v>0</v>
      </c>
      <c r="J22" s="190">
        <v>0</v>
      </c>
      <c r="K22" s="191"/>
    </row>
    <row r="23" spans="2:11">
      <c r="B23" s="187"/>
      <c r="C23" s="194"/>
      <c r="D23" s="530" t="s">
        <v>188</v>
      </c>
      <c r="E23" s="530"/>
      <c r="F23" s="19"/>
      <c r="G23" s="189"/>
      <c r="H23" s="189"/>
      <c r="I23" s="195">
        <v>0</v>
      </c>
      <c r="J23" s="195">
        <v>0</v>
      </c>
      <c r="K23" s="191"/>
    </row>
    <row r="24" spans="2:11">
      <c r="B24" s="187"/>
      <c r="C24" s="188"/>
      <c r="D24" s="188"/>
      <c r="E24" s="17"/>
      <c r="F24" s="19"/>
      <c r="G24" s="196"/>
      <c r="H24" s="196"/>
      <c r="I24" s="43"/>
      <c r="J24" s="43"/>
      <c r="K24" s="191"/>
    </row>
    <row r="25" spans="2:11">
      <c r="B25" s="197"/>
      <c r="C25" s="573" t="s">
        <v>192</v>
      </c>
      <c r="D25" s="573"/>
      <c r="E25" s="573"/>
      <c r="F25" s="24"/>
      <c r="G25" s="198"/>
      <c r="H25" s="198"/>
      <c r="I25" s="199">
        <f>I14+I19</f>
        <v>0</v>
      </c>
      <c r="J25" s="199">
        <f>J14+J19</f>
        <v>0</v>
      </c>
      <c r="K25" s="200"/>
    </row>
    <row r="26" spans="2:11">
      <c r="B26" s="182"/>
      <c r="C26" s="188"/>
      <c r="D26" s="188"/>
      <c r="E26" s="32"/>
      <c r="F26" s="19"/>
      <c r="G26" s="196"/>
      <c r="H26" s="196"/>
      <c r="I26" s="43"/>
      <c r="J26" s="43"/>
      <c r="K26" s="186"/>
    </row>
    <row r="27" spans="2:11">
      <c r="B27" s="182"/>
      <c r="C27" s="576" t="s">
        <v>193</v>
      </c>
      <c r="D27" s="576"/>
      <c r="E27" s="576"/>
      <c r="F27" s="19"/>
      <c r="G27" s="196"/>
      <c r="H27" s="196"/>
      <c r="I27" s="43"/>
      <c r="J27" s="43"/>
      <c r="K27" s="186"/>
    </row>
    <row r="28" spans="2:11">
      <c r="B28" s="182"/>
      <c r="C28" s="574" t="s">
        <v>185</v>
      </c>
      <c r="D28" s="574"/>
      <c r="E28" s="574"/>
      <c r="F28" s="19"/>
      <c r="G28" s="184"/>
      <c r="H28" s="184"/>
      <c r="I28" s="185">
        <f>SUM(I29:I31)</f>
        <v>0</v>
      </c>
      <c r="J28" s="185">
        <f>SUM(J29:J31)</f>
        <v>0</v>
      </c>
      <c r="K28" s="186"/>
    </row>
    <row r="29" spans="2:11">
      <c r="B29" s="187"/>
      <c r="C29" s="188"/>
      <c r="D29" s="530" t="s">
        <v>186</v>
      </c>
      <c r="E29" s="530"/>
      <c r="F29" s="19"/>
      <c r="G29" s="189"/>
      <c r="H29" s="189"/>
      <c r="I29" s="190">
        <v>0</v>
      </c>
      <c r="J29" s="190">
        <v>0</v>
      </c>
      <c r="K29" s="191"/>
    </row>
    <row r="30" spans="2:11">
      <c r="B30" s="187"/>
      <c r="C30" s="194"/>
      <c r="D30" s="530" t="s">
        <v>187</v>
      </c>
      <c r="E30" s="530"/>
      <c r="F30" s="194"/>
      <c r="G30" s="201"/>
      <c r="H30" s="201"/>
      <c r="I30" s="190">
        <v>0</v>
      </c>
      <c r="J30" s="190">
        <v>0</v>
      </c>
      <c r="K30" s="191"/>
    </row>
    <row r="31" spans="2:11">
      <c r="B31" s="187"/>
      <c r="C31" s="194"/>
      <c r="D31" s="530" t="s">
        <v>188</v>
      </c>
      <c r="E31" s="530"/>
      <c r="F31" s="194"/>
      <c r="G31" s="201"/>
      <c r="H31" s="201"/>
      <c r="I31" s="190">
        <v>0</v>
      </c>
      <c r="J31" s="190">
        <v>0</v>
      </c>
      <c r="K31" s="191"/>
    </row>
    <row r="32" spans="2:11" ht="10.5" customHeight="1">
      <c r="B32" s="187"/>
      <c r="C32" s="188"/>
      <c r="D32" s="188"/>
      <c r="E32" s="17"/>
      <c r="F32" s="19"/>
      <c r="G32" s="196"/>
      <c r="H32" s="196"/>
      <c r="I32" s="43"/>
      <c r="J32" s="43"/>
      <c r="K32" s="191"/>
    </row>
    <row r="33" spans="2:11">
      <c r="B33" s="182"/>
      <c r="C33" s="574" t="s">
        <v>189</v>
      </c>
      <c r="D33" s="574"/>
      <c r="E33" s="574"/>
      <c r="F33" s="19"/>
      <c r="G33" s="184"/>
      <c r="H33" s="184"/>
      <c r="I33" s="185">
        <f>SUM(I34:I37)</f>
        <v>0</v>
      </c>
      <c r="J33" s="185">
        <f>SUM(J34:J37)</f>
        <v>0</v>
      </c>
      <c r="K33" s="186"/>
    </row>
    <row r="34" spans="2:11">
      <c r="B34" s="187"/>
      <c r="C34" s="188"/>
      <c r="D34" s="530" t="s">
        <v>190</v>
      </c>
      <c r="E34" s="530"/>
      <c r="F34" s="19"/>
      <c r="G34" s="189"/>
      <c r="H34" s="189"/>
      <c r="I34" s="190">
        <v>0</v>
      </c>
      <c r="J34" s="190">
        <v>0</v>
      </c>
      <c r="K34" s="191"/>
    </row>
    <row r="35" spans="2:11">
      <c r="B35" s="187"/>
      <c r="C35" s="188"/>
      <c r="D35" s="530" t="s">
        <v>191</v>
      </c>
      <c r="E35" s="530"/>
      <c r="F35" s="19"/>
      <c r="G35" s="189"/>
      <c r="H35" s="189"/>
      <c r="I35" s="190">
        <v>0</v>
      </c>
      <c r="J35" s="190">
        <v>0</v>
      </c>
      <c r="K35" s="191"/>
    </row>
    <row r="36" spans="2:11">
      <c r="B36" s="187"/>
      <c r="C36" s="188"/>
      <c r="D36" s="530" t="s">
        <v>187</v>
      </c>
      <c r="E36" s="530"/>
      <c r="F36" s="19"/>
      <c r="G36" s="189"/>
      <c r="H36" s="189"/>
      <c r="I36" s="190">
        <v>0</v>
      </c>
      <c r="J36" s="190">
        <v>0</v>
      </c>
      <c r="K36" s="191"/>
    </row>
    <row r="37" spans="2:11">
      <c r="B37" s="187"/>
      <c r="C37" s="19"/>
      <c r="D37" s="530" t="s">
        <v>188</v>
      </c>
      <c r="E37" s="530"/>
      <c r="F37" s="19"/>
      <c r="G37" s="189"/>
      <c r="H37" s="189"/>
      <c r="I37" s="190">
        <v>0</v>
      </c>
      <c r="J37" s="190">
        <v>0</v>
      </c>
      <c r="K37" s="191"/>
    </row>
    <row r="38" spans="2:11">
      <c r="B38" s="187"/>
      <c r="C38" s="19"/>
      <c r="D38" s="19"/>
      <c r="E38" s="17"/>
      <c r="F38" s="19"/>
      <c r="G38" s="196"/>
      <c r="H38" s="196"/>
      <c r="I38" s="43"/>
      <c r="J38" s="43"/>
      <c r="K38" s="191"/>
    </row>
    <row r="39" spans="2:11">
      <c r="B39" s="197"/>
      <c r="C39" s="573" t="s">
        <v>194</v>
      </c>
      <c r="D39" s="573"/>
      <c r="E39" s="573"/>
      <c r="F39" s="24"/>
      <c r="G39" s="202"/>
      <c r="H39" s="202"/>
      <c r="I39" s="199">
        <f>I28+I33</f>
        <v>0</v>
      </c>
      <c r="J39" s="199">
        <f>J28+J33</f>
        <v>0</v>
      </c>
      <c r="K39" s="200"/>
    </row>
    <row r="40" spans="2:11" ht="9.75" customHeight="1">
      <c r="B40" s="187"/>
      <c r="C40" s="188"/>
      <c r="D40" s="188"/>
      <c r="E40" s="17"/>
      <c r="F40" s="19"/>
      <c r="G40" s="196"/>
      <c r="H40" s="196"/>
      <c r="I40" s="43"/>
      <c r="J40" s="43"/>
      <c r="K40" s="191"/>
    </row>
    <row r="41" spans="2:11">
      <c r="B41" s="187"/>
      <c r="C41" s="574" t="s">
        <v>195</v>
      </c>
      <c r="D41" s="574"/>
      <c r="E41" s="574"/>
      <c r="F41" s="19"/>
      <c r="G41" s="189"/>
      <c r="H41" s="189"/>
      <c r="I41" s="203">
        <v>1293044.44</v>
      </c>
      <c r="J41" s="203">
        <v>2272746.6800000002</v>
      </c>
      <c r="K41" s="191"/>
    </row>
    <row r="42" spans="2:11" ht="8.25" customHeight="1">
      <c r="B42" s="187"/>
      <c r="C42" s="188"/>
      <c r="D42" s="188"/>
      <c r="E42" s="17"/>
      <c r="F42" s="19"/>
      <c r="G42" s="196"/>
      <c r="H42" s="196"/>
      <c r="I42" s="43"/>
      <c r="J42" s="43"/>
      <c r="K42" s="191"/>
    </row>
    <row r="43" spans="2:11">
      <c r="B43" s="204"/>
      <c r="C43" s="575" t="s">
        <v>196</v>
      </c>
      <c r="D43" s="575"/>
      <c r="E43" s="575"/>
      <c r="F43" s="205"/>
      <c r="G43" s="206"/>
      <c r="H43" s="206"/>
      <c r="I43" s="207">
        <f>I41+I39+I25</f>
        <v>1293044.44</v>
      </c>
      <c r="J43" s="207">
        <f>J41+J39+J25</f>
        <v>2272746.6800000002</v>
      </c>
      <c r="K43" s="208"/>
    </row>
    <row r="44" spans="2:11" ht="9" customHeight="1">
      <c r="C44" s="576"/>
      <c r="D44" s="576"/>
      <c r="E44" s="576"/>
      <c r="F44" s="576"/>
      <c r="G44" s="576"/>
      <c r="H44" s="576"/>
      <c r="I44" s="576"/>
      <c r="J44" s="576"/>
      <c r="K44" s="576"/>
    </row>
    <row r="45" spans="2:11" ht="10.5" customHeight="1">
      <c r="C45" s="209"/>
      <c r="D45" s="209"/>
      <c r="E45" s="210"/>
      <c r="F45" s="211"/>
      <c r="G45" s="210"/>
      <c r="H45" s="211"/>
      <c r="I45" s="211"/>
      <c r="J45" s="211"/>
    </row>
    <row r="46" spans="2:11">
      <c r="B46" s="6"/>
      <c r="C46" s="530" t="s">
        <v>65</v>
      </c>
      <c r="D46" s="530"/>
      <c r="E46" s="530"/>
      <c r="F46" s="530"/>
      <c r="G46" s="530"/>
      <c r="H46" s="530"/>
      <c r="I46" s="530"/>
      <c r="J46" s="530"/>
      <c r="K46" s="530"/>
    </row>
    <row r="47" spans="2:11">
      <c r="B47" s="6"/>
      <c r="C47" s="17"/>
      <c r="D47" s="39"/>
      <c r="E47" s="40"/>
      <c r="F47" s="40"/>
      <c r="G47" s="6"/>
      <c r="H47" s="41"/>
      <c r="I47" s="39"/>
      <c r="J47" s="40"/>
      <c r="K47" s="40"/>
    </row>
    <row r="48" spans="2:11">
      <c r="B48" s="6"/>
      <c r="C48" s="17"/>
      <c r="D48" s="540"/>
      <c r="E48" s="540"/>
      <c r="F48" s="40"/>
      <c r="G48" s="6"/>
      <c r="H48" s="541"/>
      <c r="I48" s="541"/>
      <c r="J48" s="40"/>
      <c r="K48" s="40"/>
    </row>
    <row r="49" spans="2:11">
      <c r="B49" s="6"/>
      <c r="C49" s="43"/>
      <c r="D49" s="531" t="s">
        <v>439</v>
      </c>
      <c r="E49" s="531"/>
      <c r="F49" s="40"/>
      <c r="G49" s="40"/>
      <c r="H49" s="531" t="s">
        <v>422</v>
      </c>
      <c r="I49" s="531"/>
      <c r="J49" s="19"/>
      <c r="K49" s="40"/>
    </row>
    <row r="50" spans="2:11" ht="25.5" customHeight="1">
      <c r="B50" s="6"/>
      <c r="C50" s="44"/>
      <c r="D50" s="529" t="s">
        <v>440</v>
      </c>
      <c r="E50" s="529"/>
      <c r="F50" s="45"/>
      <c r="G50" s="45"/>
      <c r="H50" s="529" t="s">
        <v>423</v>
      </c>
      <c r="I50" s="529"/>
      <c r="J50" s="19"/>
      <c r="K50" s="40"/>
    </row>
    <row r="51" spans="2:11"/>
    <row r="52" spans="2:11" hidden="1"/>
  </sheetData>
  <mergeCells count="43">
    <mergeCell ref="C7:K7"/>
    <mergeCell ref="D2:I2"/>
    <mergeCell ref="D3:I3"/>
    <mergeCell ref="D4:I4"/>
    <mergeCell ref="D5:I5"/>
    <mergeCell ref="D6:I6"/>
    <mergeCell ref="D20:E20"/>
    <mergeCell ref="C8:K8"/>
    <mergeCell ref="C9:E9"/>
    <mergeCell ref="C10:K10"/>
    <mergeCell ref="C11:K11"/>
    <mergeCell ref="C12:E12"/>
    <mergeCell ref="C13:E13"/>
    <mergeCell ref="C14:E14"/>
    <mergeCell ref="D15:E15"/>
    <mergeCell ref="D16:E16"/>
    <mergeCell ref="D17:E17"/>
    <mergeCell ref="C19:E19"/>
    <mergeCell ref="D35:E35"/>
    <mergeCell ref="D21:E21"/>
    <mergeCell ref="D22:E22"/>
    <mergeCell ref="D23:E23"/>
    <mergeCell ref="C25:E25"/>
    <mergeCell ref="C27:E27"/>
    <mergeCell ref="C28:E28"/>
    <mergeCell ref="D29:E29"/>
    <mergeCell ref="D30:E30"/>
    <mergeCell ref="D31:E31"/>
    <mergeCell ref="C33:E33"/>
    <mergeCell ref="D34:E34"/>
    <mergeCell ref="D50:E50"/>
    <mergeCell ref="H50:I50"/>
    <mergeCell ref="D36:E36"/>
    <mergeCell ref="D37:E37"/>
    <mergeCell ref="C39:E39"/>
    <mergeCell ref="C41:E41"/>
    <mergeCell ref="C43:E43"/>
    <mergeCell ref="C44:K44"/>
    <mergeCell ref="C46:K46"/>
    <mergeCell ref="D48:E48"/>
    <mergeCell ref="H48:I48"/>
    <mergeCell ref="D49:E49"/>
    <mergeCell ref="H49:I49"/>
  </mergeCells>
  <pageMargins left="0.70866141732283472" right="0.70866141732283472" top="0.74803149606299213" bottom="0.74803149606299213" header="0.31496062992125984" footer="0.31496062992125984"/>
  <pageSetup scale="75" orientation="landscape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B12"/>
  <sheetViews>
    <sheetView view="pageBreakPreview" topLeftCell="A2" zoomScale="130" zoomScaleNormal="100" zoomScaleSheetLayoutView="130" workbookViewId="0">
      <selection activeCell="A3" sqref="A3:XFD11"/>
    </sheetView>
  </sheetViews>
  <sheetFormatPr baseColWidth="10" defaultRowHeight="15"/>
  <cols>
    <col min="2" max="2" width="69.5703125" customWidth="1"/>
  </cols>
  <sheetData>
    <row r="1" spans="2:2" ht="30" customHeight="1" thickBot="1">
      <c r="B1" s="436" t="s">
        <v>434</v>
      </c>
    </row>
    <row r="2" spans="2:2" ht="39" customHeight="1">
      <c r="B2" s="431" t="s">
        <v>435</v>
      </c>
    </row>
    <row r="3" spans="2:2">
      <c r="B3" s="432" t="s">
        <v>427</v>
      </c>
    </row>
    <row r="4" spans="2:2" ht="24">
      <c r="B4" s="433" t="s">
        <v>436</v>
      </c>
    </row>
    <row r="5" spans="2:2" ht="36">
      <c r="B5" s="433" t="s">
        <v>428</v>
      </c>
    </row>
    <row r="6" spans="2:2" ht="36">
      <c r="B6" s="433" t="s">
        <v>429</v>
      </c>
    </row>
    <row r="7" spans="2:2" ht="24">
      <c r="B7" s="433" t="s">
        <v>430</v>
      </c>
    </row>
    <row r="8" spans="2:2">
      <c r="B8" s="434"/>
    </row>
    <row r="9" spans="2:2">
      <c r="B9" s="432" t="s">
        <v>431</v>
      </c>
    </row>
    <row r="10" spans="2:2">
      <c r="B10" s="433" t="s">
        <v>432</v>
      </c>
    </row>
    <row r="11" spans="2:2">
      <c r="B11" s="433" t="s">
        <v>433</v>
      </c>
    </row>
    <row r="12" spans="2:2">
      <c r="B12" s="435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"/>
  <sheetViews>
    <sheetView showGridLines="0" workbookViewId="0">
      <selection activeCell="B3" sqref="B3"/>
    </sheetView>
  </sheetViews>
  <sheetFormatPr baseColWidth="10" defaultRowHeight="15"/>
  <sheetData>
    <row r="2" spans="2:2">
      <c r="B2" t="s">
        <v>1540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6</vt:i4>
      </vt:variant>
    </vt:vector>
  </HeadingPairs>
  <TitlesOfParts>
    <vt:vector size="33" baseType="lpstr">
      <vt:lpstr>PORTADA_Contable</vt:lpstr>
      <vt:lpstr>ESF</vt:lpstr>
      <vt:lpstr>EA</vt:lpstr>
      <vt:lpstr>EVHP</vt:lpstr>
      <vt:lpstr>EFE</vt:lpstr>
      <vt:lpstr>EAA</vt:lpstr>
      <vt:lpstr>EAD</vt:lpstr>
      <vt:lpstr>Pasivos Contingentes</vt:lpstr>
      <vt:lpstr>Notas E.F.</vt:lpstr>
      <vt:lpstr>ECSF</vt:lpstr>
      <vt:lpstr>PORTADA_Presupuestaria</vt:lpstr>
      <vt:lpstr>a) Analítico Ingresos</vt:lpstr>
      <vt:lpstr>b) Clasificación Administrativa</vt:lpstr>
      <vt:lpstr>b) Clasificación Económica CTG</vt:lpstr>
      <vt:lpstr>b) Clasificación COG (Cap-Conc)</vt:lpstr>
      <vt:lpstr>b) Clasificación Funcional CFG</vt:lpstr>
      <vt:lpstr>c) Endeudamiento Neto</vt:lpstr>
      <vt:lpstr>d) Intereses de la Deuda</vt:lpstr>
      <vt:lpstr>e)Indicadores de Postura Fiscal</vt:lpstr>
      <vt:lpstr>PORTADA PROGRAMATICA</vt:lpstr>
      <vt:lpstr>a) Gto x Cat Programatica</vt:lpstr>
      <vt:lpstr>b) Pg y Py de Inversión</vt:lpstr>
      <vt:lpstr>c) Indicadores Resultados</vt:lpstr>
      <vt:lpstr>PORTADA_Anexos</vt:lpstr>
      <vt:lpstr>B. Muebles</vt:lpstr>
      <vt:lpstr>B. Inmuebles</vt:lpstr>
      <vt:lpstr>Rel Ctas Bancarias</vt:lpstr>
      <vt:lpstr>EA!Área_de_impresión</vt:lpstr>
      <vt:lpstr>EFE!Área_de_impresión</vt:lpstr>
      <vt:lpstr>ESF!Área_de_impresión</vt:lpstr>
      <vt:lpstr>EVHP!Área_de_impresión</vt:lpstr>
      <vt:lpstr>'Pasivos Contingentes'!Área_de_impresión</vt:lpstr>
      <vt:lpstr>PORTADA_Contable!Área_de_impresión</vt:lpstr>
    </vt:vector>
  </TitlesOfParts>
  <Company>Secretaría de Finanzas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Polo</dc:creator>
  <cp:lastModifiedBy>Adriana Rodríguez</cp:lastModifiedBy>
  <cp:lastPrinted>2016-03-18T01:28:12Z</cp:lastPrinted>
  <dcterms:created xsi:type="dcterms:W3CDTF">2014-09-17T13:15:07Z</dcterms:created>
  <dcterms:modified xsi:type="dcterms:W3CDTF">2016-04-22T16:48:39Z</dcterms:modified>
</cp:coreProperties>
</file>