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\Documents\Transparencia\"/>
    </mc:Choice>
  </mc:AlternateContent>
  <bookViews>
    <workbookView xWindow="0" yWindow="0" windowWidth="20490" windowHeight="7065" firstSheet="4" activeTab="11"/>
  </bookViews>
  <sheets>
    <sheet name="ENERO " sheetId="1" r:id="rId1"/>
    <sheet name="FEBRERO" sheetId="2" r:id="rId2"/>
    <sheet name="MARZO " sheetId="3" r:id="rId3"/>
    <sheet name="ABRIL " sheetId="4" r:id="rId4"/>
    <sheet name="MAYO " sheetId="5" r:id="rId5"/>
    <sheet name="JUNIO 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externalReferences>
    <externalReference r:id="rId13"/>
  </externalReferences>
  <definedNames>
    <definedName name="AgoDom1">DATE(Año_Calendario,8,1)-WEEKDAY(DATE(Año_Calendario,8,1))+1</definedName>
    <definedName name="Año_Calendario">[1]Enero!$N$2</definedName>
    <definedName name="DíasDeTareas" localSheetId="3">[1]Marzo!$L$4:$L$33</definedName>
    <definedName name="DíasDeTareas" localSheetId="7">[1]Marzo!$L$4:$L$33</definedName>
    <definedName name="DíasDeTareas" localSheetId="11">[1]Marzo!$L$4:$L$33</definedName>
    <definedName name="DíasDeTareas" localSheetId="6">[1]Marzo!$L$4:$L$33</definedName>
    <definedName name="DíasDeTareas" localSheetId="5">[1]Marzo!$L$4:$L$33</definedName>
    <definedName name="DíasDeTareas" localSheetId="2">[1]Marzo!$L$4:$L$33</definedName>
    <definedName name="DíasDeTareas" localSheetId="4">[1]Marzo!$L$4:$L$33</definedName>
    <definedName name="DíasDeTareas" localSheetId="10">[1]Marzo!$L$4:$L$33</definedName>
    <definedName name="DíasDeTareas" localSheetId="9">[1]Marzo!$L$4:$L$33</definedName>
    <definedName name="DíasDeTareas" localSheetId="8">[1]Marzo!$L$4:$L$33</definedName>
    <definedName name="DicDom1">DATE(Año_Calendario,12,1)-WEEKDAY(DATE(Año_Calendario,12,1))+1</definedName>
    <definedName name="JulDom1">DATE(Año_Calendario,7,1)-WEEKDAY(DATE(Año_Calendario,7,1))+1</definedName>
    <definedName name="JunDom1">DATE(Año_Calendario,6,1)-WEEKDAY(DATE(Año_Calendario,6,1))+1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</definedNames>
  <calcPr calcId="162913"/>
</workbook>
</file>

<file path=xl/calcChain.xml><?xml version="1.0" encoding="utf-8"?>
<calcChain xmlns="http://schemas.openxmlformats.org/spreadsheetml/2006/main">
  <c r="N14" i="10" l="1"/>
  <c r="R15" i="12" l="1"/>
  <c r="Q15" i="12"/>
  <c r="P15" i="12"/>
  <c r="O15" i="12"/>
  <c r="N15" i="12"/>
  <c r="M15" i="12"/>
  <c r="L15" i="12"/>
  <c r="R14" i="12"/>
  <c r="Q14" i="12"/>
  <c r="P14" i="12"/>
  <c r="O14" i="12"/>
  <c r="N14" i="12"/>
  <c r="M14" i="12"/>
  <c r="L14" i="12"/>
  <c r="R13" i="12"/>
  <c r="Q13" i="12"/>
  <c r="P13" i="12"/>
  <c r="O13" i="12"/>
  <c r="N13" i="12"/>
  <c r="M13" i="12"/>
  <c r="L13" i="12"/>
  <c r="R12" i="12"/>
  <c r="Q12" i="12"/>
  <c r="P12" i="12"/>
  <c r="O12" i="12"/>
  <c r="N12" i="12"/>
  <c r="M12" i="12"/>
  <c r="L12" i="12"/>
  <c r="R11" i="12"/>
  <c r="Q11" i="12"/>
  <c r="P11" i="12"/>
  <c r="O11" i="12"/>
  <c r="N11" i="12"/>
  <c r="M11" i="12"/>
  <c r="L11" i="12"/>
  <c r="R10" i="12"/>
  <c r="Q10" i="12"/>
  <c r="P10" i="12"/>
  <c r="O10" i="12"/>
  <c r="N10" i="12"/>
  <c r="M10" i="12"/>
  <c r="L10" i="12"/>
  <c r="R16" i="11"/>
  <c r="Q16" i="11"/>
  <c r="P16" i="11"/>
  <c r="O16" i="11"/>
  <c r="N16" i="11"/>
  <c r="M16" i="11"/>
  <c r="L16" i="11"/>
  <c r="R15" i="11"/>
  <c r="Q15" i="11"/>
  <c r="P15" i="11"/>
  <c r="O15" i="11"/>
  <c r="N15" i="11"/>
  <c r="M15" i="11"/>
  <c r="L15" i="11"/>
  <c r="R14" i="11"/>
  <c r="Q14" i="11"/>
  <c r="P14" i="11"/>
  <c r="O14" i="11"/>
  <c r="N14" i="11"/>
  <c r="M14" i="11"/>
  <c r="L14" i="11"/>
  <c r="R13" i="11"/>
  <c r="Q13" i="11"/>
  <c r="P13" i="11"/>
  <c r="O13" i="11"/>
  <c r="N13" i="11"/>
  <c r="M13" i="11"/>
  <c r="L13" i="11"/>
  <c r="R12" i="11"/>
  <c r="Q12" i="11"/>
  <c r="P12" i="11"/>
  <c r="O12" i="11"/>
  <c r="N12" i="11"/>
  <c r="M12" i="11"/>
  <c r="L12" i="11"/>
  <c r="R11" i="11"/>
  <c r="Q11" i="11"/>
  <c r="P11" i="11"/>
  <c r="O11" i="11"/>
  <c r="N11" i="11"/>
  <c r="M11" i="11"/>
  <c r="L11" i="11"/>
  <c r="R15" i="10"/>
  <c r="Q15" i="10"/>
  <c r="P15" i="10"/>
  <c r="O15" i="10"/>
  <c r="N15" i="10"/>
  <c r="M15" i="10"/>
  <c r="L15" i="10"/>
  <c r="R14" i="10"/>
  <c r="Q14" i="10"/>
  <c r="P14" i="10"/>
  <c r="O14" i="10"/>
  <c r="M14" i="10"/>
  <c r="L14" i="10"/>
  <c r="R13" i="10"/>
  <c r="Q13" i="10"/>
  <c r="P13" i="10"/>
  <c r="O13" i="10"/>
  <c r="N13" i="10"/>
  <c r="M13" i="10"/>
  <c r="L13" i="10"/>
  <c r="R12" i="10"/>
  <c r="Q12" i="10"/>
  <c r="P12" i="10"/>
  <c r="O12" i="10"/>
  <c r="N12" i="10"/>
  <c r="M12" i="10"/>
  <c r="L12" i="10"/>
  <c r="R11" i="10"/>
  <c r="Q11" i="10"/>
  <c r="P11" i="10"/>
  <c r="O11" i="10"/>
  <c r="N11" i="10"/>
  <c r="M11" i="10"/>
  <c r="L11" i="10"/>
  <c r="R10" i="10"/>
  <c r="Q10" i="10"/>
  <c r="P10" i="10"/>
  <c r="O10" i="10"/>
  <c r="N10" i="10"/>
  <c r="M10" i="10"/>
  <c r="L10" i="10"/>
  <c r="R15" i="9"/>
  <c r="Q15" i="9"/>
  <c r="P15" i="9"/>
  <c r="O15" i="9"/>
  <c r="N15" i="9"/>
  <c r="M15" i="9"/>
  <c r="L15" i="9"/>
  <c r="R14" i="9"/>
  <c r="Q14" i="9"/>
  <c r="P14" i="9"/>
  <c r="O14" i="9"/>
  <c r="N14" i="9"/>
  <c r="M14" i="9"/>
  <c r="L14" i="9"/>
  <c r="R13" i="9"/>
  <c r="Q13" i="9"/>
  <c r="P13" i="9"/>
  <c r="O13" i="9"/>
  <c r="N13" i="9"/>
  <c r="M13" i="9"/>
  <c r="L13" i="9"/>
  <c r="R12" i="9"/>
  <c r="Q12" i="9"/>
  <c r="P12" i="9"/>
  <c r="O12" i="9"/>
  <c r="N12" i="9"/>
  <c r="M12" i="9"/>
  <c r="L12" i="9"/>
  <c r="R11" i="9"/>
  <c r="Q11" i="9"/>
  <c r="P11" i="9"/>
  <c r="O11" i="9"/>
  <c r="N11" i="9"/>
  <c r="M11" i="9"/>
  <c r="L11" i="9"/>
  <c r="R10" i="9"/>
  <c r="Q10" i="9"/>
  <c r="P10" i="9"/>
  <c r="O10" i="9"/>
  <c r="N10" i="9"/>
  <c r="M10" i="9"/>
  <c r="L10" i="9"/>
  <c r="R15" i="8"/>
  <c r="Q15" i="8"/>
  <c r="P15" i="8"/>
  <c r="O15" i="8"/>
  <c r="N15" i="8"/>
  <c r="M15" i="8"/>
  <c r="L15" i="8"/>
  <c r="R14" i="8"/>
  <c r="Q14" i="8"/>
  <c r="P14" i="8"/>
  <c r="O14" i="8"/>
  <c r="N14" i="8"/>
  <c r="M14" i="8"/>
  <c r="L14" i="8"/>
  <c r="R13" i="8"/>
  <c r="Q13" i="8"/>
  <c r="P13" i="8"/>
  <c r="O13" i="8"/>
  <c r="N13" i="8"/>
  <c r="M13" i="8"/>
  <c r="L13" i="8"/>
  <c r="R12" i="8"/>
  <c r="Q12" i="8"/>
  <c r="P12" i="8"/>
  <c r="O12" i="8"/>
  <c r="N12" i="8"/>
  <c r="M12" i="8"/>
  <c r="L12" i="8"/>
  <c r="R11" i="8"/>
  <c r="Q11" i="8"/>
  <c r="P11" i="8"/>
  <c r="O11" i="8"/>
  <c r="N11" i="8"/>
  <c r="M11" i="8"/>
  <c r="L11" i="8"/>
  <c r="R10" i="8"/>
  <c r="Q10" i="8"/>
  <c r="P10" i="8"/>
  <c r="O10" i="8"/>
  <c r="N10" i="8"/>
  <c r="M10" i="8"/>
  <c r="L10" i="8"/>
  <c r="R15" i="7"/>
  <c r="Q15" i="7"/>
  <c r="P15" i="7"/>
  <c r="O15" i="7"/>
  <c r="N15" i="7"/>
  <c r="M15" i="7"/>
  <c r="L15" i="7"/>
  <c r="R14" i="7"/>
  <c r="Q14" i="7"/>
  <c r="P14" i="7"/>
  <c r="O14" i="7"/>
  <c r="N14" i="7"/>
  <c r="M14" i="7"/>
  <c r="L14" i="7"/>
  <c r="R13" i="7"/>
  <c r="Q13" i="7"/>
  <c r="P13" i="7"/>
  <c r="O13" i="7"/>
  <c r="N13" i="7"/>
  <c r="M13" i="7"/>
  <c r="L13" i="7"/>
  <c r="R12" i="7"/>
  <c r="Q12" i="7"/>
  <c r="P12" i="7"/>
  <c r="O12" i="7"/>
  <c r="N12" i="7"/>
  <c r="M12" i="7"/>
  <c r="L12" i="7"/>
  <c r="R11" i="7"/>
  <c r="Q11" i="7"/>
  <c r="P11" i="7"/>
  <c r="O11" i="7"/>
  <c r="N11" i="7"/>
  <c r="M11" i="7"/>
  <c r="L11" i="7"/>
  <c r="R10" i="7"/>
  <c r="Q10" i="7"/>
  <c r="P10" i="7"/>
  <c r="O10" i="7"/>
  <c r="N10" i="7"/>
  <c r="M10" i="7"/>
  <c r="L10" i="7"/>
  <c r="R15" i="6"/>
  <c r="Q15" i="6"/>
  <c r="P15" i="6"/>
  <c r="O15" i="6"/>
  <c r="N15" i="6"/>
  <c r="M15" i="6"/>
  <c r="L15" i="6"/>
  <c r="R14" i="6"/>
  <c r="Q14" i="6"/>
  <c r="P14" i="6"/>
  <c r="O14" i="6"/>
  <c r="N14" i="6"/>
  <c r="M14" i="6"/>
  <c r="L14" i="6"/>
  <c r="R13" i="6"/>
  <c r="Q13" i="6"/>
  <c r="P13" i="6"/>
  <c r="O13" i="6"/>
  <c r="N13" i="6"/>
  <c r="M13" i="6"/>
  <c r="L13" i="6"/>
  <c r="R12" i="6"/>
  <c r="Q12" i="6"/>
  <c r="P12" i="6"/>
  <c r="O12" i="6"/>
  <c r="N12" i="6"/>
  <c r="M12" i="6"/>
  <c r="L12" i="6"/>
  <c r="R11" i="6"/>
  <c r="Q11" i="6"/>
  <c r="P11" i="6"/>
  <c r="O11" i="6"/>
  <c r="N11" i="6"/>
  <c r="M11" i="6"/>
  <c r="L11" i="6"/>
  <c r="R10" i="6"/>
  <c r="Q10" i="6"/>
  <c r="P10" i="6"/>
  <c r="O10" i="6"/>
  <c r="N10" i="6"/>
  <c r="M10" i="6"/>
  <c r="L10" i="6"/>
</calcChain>
</file>

<file path=xl/sharedStrings.xml><?xml version="1.0" encoding="utf-8"?>
<sst xmlns="http://schemas.openxmlformats.org/spreadsheetml/2006/main" count="183" uniqueCount="56">
  <si>
    <t>L</t>
  </si>
  <si>
    <t>M</t>
  </si>
  <si>
    <t>X</t>
  </si>
  <si>
    <t>J</t>
  </si>
  <si>
    <t>V</t>
  </si>
  <si>
    <t>S</t>
  </si>
  <si>
    <t>D</t>
  </si>
  <si>
    <t>DÍA</t>
  </si>
  <si>
    <t>ACTIVDAD</t>
  </si>
  <si>
    <t>HORA</t>
  </si>
  <si>
    <t>LUGAR</t>
  </si>
  <si>
    <t>´ENERO 2016</t>
  </si>
  <si>
    <t>´FEBRERO 2016</t>
  </si>
  <si>
    <t>´MARZO 2016</t>
  </si>
  <si>
    <t>´ABRIL 2016</t>
  </si>
  <si>
    <t>´MAYO 2016</t>
  </si>
  <si>
    <t xml:space="preserve"> JUNIO 2016</t>
  </si>
  <si>
    <t>´JULIO 2016</t>
  </si>
  <si>
    <t>´AGOSTO 2016</t>
  </si>
  <si>
    <t>´SEPTIEMBRE 2016</t>
  </si>
  <si>
    <t>´OCTUBRE 2016</t>
  </si>
  <si>
    <t xml:space="preserve"> NOVIEMBRE 2016</t>
  </si>
  <si>
    <t xml:space="preserve"> DICIEMBRE 2016</t>
  </si>
  <si>
    <t>LUNES 30</t>
  </si>
  <si>
    <t>CAPACITACION PLATAFORMA NACIONAL DE TRANSPARENCIA</t>
  </si>
  <si>
    <t>13:00:00 a. m.</t>
  </si>
  <si>
    <t xml:space="preserve">   CUCS      / U de G       </t>
  </si>
  <si>
    <t xml:space="preserve"> </t>
  </si>
  <si>
    <t xml:space="preserve">VIERNES 10 </t>
  </si>
  <si>
    <t xml:space="preserve">REUNION LIC. ISAURA ORTEGA </t>
  </si>
  <si>
    <t>10:00AM</t>
  </si>
  <si>
    <t>SEJ</t>
  </si>
  <si>
    <t>9:00AM</t>
  </si>
  <si>
    <t>LUNES 18</t>
  </si>
  <si>
    <t xml:space="preserve">CAPACITACION  DEL MANUAL DE SEGURIDAD DE LOS DATOS PERSONALES </t>
  </si>
  <si>
    <t>9.00 AM</t>
  </si>
  <si>
    <t xml:space="preserve">HOTEL CAMINO REAL </t>
  </si>
  <si>
    <t>VIERNES 15</t>
  </si>
  <si>
    <t>1ER JORNADA ARCHIVISTICA</t>
  </si>
  <si>
    <t>CUCSH    / U DE G</t>
  </si>
  <si>
    <t xml:space="preserve">TALLER DE TRANSPARENCIA Y ACCESO A LA INFORMACION </t>
  </si>
  <si>
    <t>JUEVES 30</t>
  </si>
  <si>
    <t>Actividades inherentes al puesto</t>
  </si>
  <si>
    <t>Junta de Gobierno</t>
  </si>
  <si>
    <t>Instalaciones de la ECRO</t>
  </si>
  <si>
    <t>Sesión extraordinaria de junta de Gobierno</t>
  </si>
  <si>
    <t>10.00am</t>
  </si>
  <si>
    <t>Diplomado en Transparencia y Protección de datos personales</t>
  </si>
  <si>
    <t>9.00 a 16:00 hrs</t>
  </si>
  <si>
    <t>Archivo histórico del Estado</t>
  </si>
  <si>
    <t>03 y 04 /11/2016</t>
  </si>
  <si>
    <t>17 y 18</t>
  </si>
  <si>
    <t>4° SESION ORDINARIA DE LA JUNTA DIRECTIVA DE LA ECRO</t>
  </si>
  <si>
    <t>09 de diciembre</t>
  </si>
  <si>
    <t>11.00 hrs</t>
  </si>
  <si>
    <t>Aula Magna de ECRO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</si>
</sst>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Arial"/>
    </font>
    <font>
      <sz val="10.5"/>
      <color rgb="FF000000"/>
      <name val="Arial"/>
    </font>
    <font>
      <sz val="10.5"/>
      <color rgb="FF595959"/>
      <name val="Arial"/>
    </font>
    <font>
      <sz val="20"/>
      <color rgb="FF000000"/>
      <name val="Arial"/>
      <family val="2"/>
    </font>
    <font>
      <sz val="10.5"/>
      <color theme="1" tint="0.249977111117893"/>
      <name val="Arial"/>
      <family val="2"/>
    </font>
    <font>
      <sz val="10.5"/>
      <color theme="0" tint="-0.499984740745262"/>
      <name val="Arial"/>
      <family val="2"/>
    </font>
    <font>
      <b/>
      <sz val="24"/>
      <color theme="4"/>
      <name val="Cambria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sz val="20"/>
      <name val="Arial"/>
      <family val="2"/>
    </font>
    <font>
      <sz val="18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sz val="10"/>
      <color theme="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.5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0.5"/>
      <color theme="1" tint="0.14999847407452621"/>
      <name val="Arial"/>
      <family val="2"/>
    </font>
    <font>
      <sz val="10.5"/>
      <color theme="0"/>
      <name val="Cambria"/>
      <family val="2"/>
      <scheme val="major"/>
    </font>
    <font>
      <sz val="10.5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4" tint="0.79992065187536243"/>
      </right>
      <top style="thin">
        <color theme="4" tint="0.79995117038483843"/>
      </top>
      <bottom style="thin">
        <color theme="0"/>
      </bottom>
      <diagonal/>
    </border>
    <border>
      <left style="thin">
        <color theme="0"/>
      </left>
      <right style="thin">
        <color theme="4" tint="0.7999206518753624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79995117038483843"/>
      </bottom>
      <diagonal/>
    </border>
    <border>
      <left style="thin">
        <color theme="0"/>
      </left>
      <right style="thin">
        <color theme="4" tint="0.79992065187536243"/>
      </right>
      <top style="thin">
        <color theme="0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0"/>
      </right>
      <top style="thin">
        <color theme="4" tint="0.79995117038483843"/>
      </top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 wrapText="1" indent="1" readingOrder="1"/>
    </xf>
    <xf numFmtId="0" fontId="2" fillId="4" borderId="5" xfId="0" applyFont="1" applyFill="1" applyBorder="1" applyAlignment="1">
      <alignment horizontal="left" vertical="center" wrapText="1" indent="1"/>
    </xf>
    <xf numFmtId="0" fontId="0" fillId="5" borderId="0" xfId="0" applyFill="1" applyAlignment="1">
      <alignment horizontal="left" vertical="center" wrapText="1" indent="1"/>
    </xf>
    <xf numFmtId="20" fontId="0" fillId="5" borderId="0" xfId="0" applyNumberFormat="1" applyFill="1" applyAlignment="1">
      <alignment horizontal="left" vertical="center" wrapText="1" indent="1"/>
    </xf>
    <xf numFmtId="0" fontId="0" fillId="0" borderId="0" xfId="0" applyAlignment="1">
      <alignment vertical="top" wrapText="1" indent="1"/>
    </xf>
    <xf numFmtId="0" fontId="0" fillId="5" borderId="0" xfId="0" applyFill="1" applyAlignment="1">
      <alignment vertical="top" wrapText="1" inden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" fillId="4" borderId="5" xfId="0" applyFont="1" applyFill="1" applyBorder="1" applyAlignment="1">
      <alignment horizontal="left" vertical="center" wrapText="1" indent="1"/>
    </xf>
    <xf numFmtId="0" fontId="15" fillId="6" borderId="6" xfId="0" applyFont="1" applyFill="1" applyBorder="1"/>
    <xf numFmtId="164" fontId="11" fillId="6" borderId="6" xfId="0" applyNumberFormat="1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left" vertical="center" wrapText="1" indent="1"/>
    </xf>
    <xf numFmtId="0" fontId="15" fillId="4" borderId="6" xfId="0" applyFont="1" applyFill="1" applyBorder="1"/>
    <xf numFmtId="164" fontId="17" fillId="6" borderId="6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textRotation="90"/>
    </xf>
    <xf numFmtId="0" fontId="0" fillId="2" borderId="9" xfId="0" applyFont="1" applyFill="1" applyBorder="1"/>
    <xf numFmtId="0" fontId="22" fillId="7" borderId="7" xfId="0" applyFont="1" applyFill="1" applyBorder="1"/>
    <xf numFmtId="0" fontId="24" fillId="4" borderId="6" xfId="0" applyFont="1" applyFill="1" applyBorder="1" applyAlignment="1">
      <alignment horizontal="center" vertical="center"/>
    </xf>
    <xf numFmtId="0" fontId="25" fillId="4" borderId="6" xfId="0" applyFont="1" applyFill="1" applyBorder="1"/>
    <xf numFmtId="0" fontId="26" fillId="4" borderId="7" xfId="0" applyFont="1" applyFill="1" applyBorder="1" applyAlignment="1">
      <alignment horizontal="center" vertical="center"/>
    </xf>
    <xf numFmtId="164" fontId="21" fillId="7" borderId="6" xfId="0" applyNumberFormat="1" applyFont="1" applyFill="1" applyBorder="1" applyAlignment="1">
      <alignment horizontal="center" vertical="center" wrapText="1"/>
    </xf>
    <xf numFmtId="0" fontId="22" fillId="7" borderId="6" xfId="0" applyFont="1" applyFill="1" applyBorder="1"/>
    <xf numFmtId="164" fontId="23" fillId="7" borderId="6" xfId="0" applyNumberFormat="1" applyFont="1" applyFill="1" applyBorder="1" applyAlignment="1">
      <alignment horizontal="left" vertical="center" wrapText="1" indent="1"/>
    </xf>
    <xf numFmtId="164" fontId="19" fillId="7" borderId="6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10" fillId="2" borderId="0" xfId="0" applyFont="1" applyFill="1" applyBorder="1" applyAlignment="1">
      <alignment vertical="center" textRotation="90"/>
    </xf>
    <xf numFmtId="0" fontId="0" fillId="2" borderId="0" xfId="0" applyFill="1" applyBorder="1"/>
    <xf numFmtId="0" fontId="0" fillId="2" borderId="17" xfId="0" applyFont="1" applyFill="1" applyBorder="1"/>
    <xf numFmtId="164" fontId="12" fillId="2" borderId="18" xfId="0" applyNumberFormat="1" applyFont="1" applyFill="1" applyBorder="1" applyAlignment="1">
      <alignment horizontal="left" vertical="center" wrapText="1" indent="1"/>
    </xf>
    <xf numFmtId="0" fontId="0" fillId="2" borderId="18" xfId="0" applyFont="1" applyFill="1" applyBorder="1"/>
    <xf numFmtId="0" fontId="27" fillId="6" borderId="10" xfId="0" applyFont="1" applyFill="1" applyBorder="1"/>
    <xf numFmtId="164" fontId="8" fillId="6" borderId="6" xfId="0" applyNumberFormat="1" applyFont="1" applyFill="1" applyBorder="1" applyAlignment="1">
      <alignment horizontal="center" vertical="center" wrapText="1"/>
    </xf>
    <xf numFmtId="0" fontId="27" fillId="6" borderId="11" xfId="0" applyFont="1" applyFill="1" applyBorder="1"/>
    <xf numFmtId="0" fontId="18" fillId="4" borderId="6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164" fontId="19" fillId="6" borderId="6" xfId="0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26" fillId="4" borderId="6" xfId="0" applyFont="1" applyFill="1" applyBorder="1" applyAlignment="1">
      <alignment horizontal="center" vertical="center"/>
    </xf>
    <xf numFmtId="0" fontId="30" fillId="6" borderId="11" xfId="0" applyFont="1" applyFill="1" applyBorder="1"/>
    <xf numFmtId="0" fontId="3" fillId="6" borderId="6" xfId="0" applyFont="1" applyFill="1" applyBorder="1"/>
    <xf numFmtId="0" fontId="32" fillId="6" borderId="11" xfId="0" applyFont="1" applyFill="1" applyBorder="1"/>
    <xf numFmtId="0" fontId="28" fillId="6" borderId="6" xfId="0" applyFont="1" applyFill="1" applyBorder="1"/>
    <xf numFmtId="164" fontId="19" fillId="6" borderId="12" xfId="0" applyNumberFormat="1" applyFont="1" applyFill="1" applyBorder="1" applyAlignment="1">
      <alignment horizontal="left" vertical="center" wrapText="1" indent="1"/>
    </xf>
    <xf numFmtId="0" fontId="30" fillId="6" borderId="13" xfId="0" applyFont="1" applyFill="1" applyBorder="1"/>
    <xf numFmtId="0" fontId="27" fillId="6" borderId="6" xfId="0" applyFont="1" applyFill="1" applyBorder="1"/>
    <xf numFmtId="0" fontId="0" fillId="7" borderId="6" xfId="0" applyFont="1" applyFill="1" applyBorder="1"/>
    <xf numFmtId="164" fontId="20" fillId="7" borderId="6" xfId="0" applyNumberFormat="1" applyFont="1" applyFill="1" applyBorder="1" applyAlignment="1">
      <alignment horizontal="left" vertical="center" wrapText="1" indent="1"/>
    </xf>
    <xf numFmtId="0" fontId="30" fillId="7" borderId="6" xfId="0" applyFont="1" applyFill="1" applyBorder="1"/>
    <xf numFmtId="18" fontId="0" fillId="5" borderId="0" xfId="0" applyNumberFormat="1" applyFill="1" applyAlignment="1">
      <alignment vertical="top" wrapText="1" indent="1"/>
    </xf>
    <xf numFmtId="15" fontId="2" fillId="5" borderId="0" xfId="0" applyNumberFormat="1" applyFont="1" applyFill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 vertical="center" textRotation="90" wrapText="1" readingOrder="1"/>
    </xf>
    <xf numFmtId="0" fontId="7" fillId="3" borderId="3" xfId="0" applyNumberFormat="1" applyFont="1" applyFill="1" applyBorder="1" applyAlignment="1">
      <alignment horizontal="center" vertical="center" textRotation="90" wrapText="1" readingOrder="1"/>
    </xf>
    <xf numFmtId="0" fontId="7" fillId="3" borderId="4" xfId="0" applyNumberFormat="1" applyFont="1" applyFill="1" applyBorder="1" applyAlignment="1">
      <alignment horizontal="center" vertical="center" textRotation="90" wrapText="1" readingOrder="1"/>
    </xf>
    <xf numFmtId="0" fontId="14" fillId="6" borderId="8" xfId="0" applyFont="1" applyFill="1" applyBorder="1" applyAlignment="1">
      <alignment horizontal="center" vertical="center" textRotation="90"/>
    </xf>
    <xf numFmtId="0" fontId="14" fillId="6" borderId="9" xfId="0" applyFont="1" applyFill="1" applyBorder="1" applyAlignment="1">
      <alignment horizontal="center" vertical="center" textRotation="90"/>
    </xf>
    <xf numFmtId="17" fontId="14" fillId="6" borderId="8" xfId="0" applyNumberFormat="1" applyFont="1" applyFill="1" applyBorder="1" applyAlignment="1">
      <alignment horizontal="center" vertical="center" textRotation="90"/>
    </xf>
    <xf numFmtId="17" fontId="14" fillId="6" borderId="9" xfId="0" applyNumberFormat="1" applyFont="1" applyFill="1" applyBorder="1" applyAlignment="1">
      <alignment horizontal="center" vertical="center" textRotation="90"/>
    </xf>
    <xf numFmtId="17" fontId="13" fillId="7" borderId="6" xfId="0" quotePrefix="1" applyNumberFormat="1" applyFont="1" applyFill="1" applyBorder="1" applyAlignment="1">
      <alignment horizontal="center" vertical="center" textRotation="90"/>
    </xf>
    <xf numFmtId="0" fontId="13" fillId="7" borderId="7" xfId="0" applyFont="1" applyFill="1" applyBorder="1" applyAlignment="1">
      <alignment horizontal="center" vertical="center" textRotation="90"/>
    </xf>
    <xf numFmtId="0" fontId="13" fillId="7" borderId="8" xfId="0" applyFont="1" applyFill="1" applyBorder="1" applyAlignment="1">
      <alignment horizontal="center" vertical="center" textRotation="90"/>
    </xf>
    <xf numFmtId="0" fontId="13" fillId="7" borderId="9" xfId="0" applyFont="1" applyFill="1" applyBorder="1" applyAlignment="1">
      <alignment horizontal="center" vertical="center" textRotation="90"/>
    </xf>
    <xf numFmtId="0" fontId="14" fillId="6" borderId="14" xfId="0" applyFont="1" applyFill="1" applyBorder="1" applyAlignment="1">
      <alignment horizontal="center" vertical="center" textRotation="90"/>
    </xf>
    <xf numFmtId="0" fontId="14" fillId="6" borderId="15" xfId="0" applyFont="1" applyFill="1" applyBorder="1" applyAlignment="1">
      <alignment horizontal="center" vertical="center" textRotation="90"/>
    </xf>
    <xf numFmtId="0" fontId="31" fillId="6" borderId="19" xfId="0" applyFont="1" applyFill="1" applyBorder="1" applyAlignment="1">
      <alignment horizontal="center" vertical="center" textRotation="90"/>
    </xf>
    <xf numFmtId="0" fontId="31" fillId="6" borderId="15" xfId="0" applyFont="1" applyFill="1" applyBorder="1" applyAlignment="1">
      <alignment horizontal="center" vertical="center" textRotation="90"/>
    </xf>
    <xf numFmtId="0" fontId="31" fillId="6" borderId="20" xfId="0" applyFont="1" applyFill="1" applyBorder="1" applyAlignment="1">
      <alignment horizontal="center" vertical="center" textRotation="90"/>
    </xf>
    <xf numFmtId="0" fontId="14" fillId="6" borderId="19" xfId="0" applyFont="1" applyFill="1" applyBorder="1" applyAlignment="1">
      <alignment horizontal="center" vertical="center" textRotation="90"/>
    </xf>
    <xf numFmtId="0" fontId="14" fillId="6" borderId="20" xfId="0" applyFont="1" applyFill="1" applyBorder="1" applyAlignment="1">
      <alignment horizontal="center" vertical="center" textRotation="90"/>
    </xf>
    <xf numFmtId="0" fontId="14" fillId="6" borderId="19" xfId="0" quotePrefix="1" applyFont="1" applyFill="1" applyBorder="1" applyAlignment="1">
      <alignment horizontal="center" vertical="center" textRotation="90"/>
    </xf>
    <xf numFmtId="0" fontId="14" fillId="6" borderId="15" xfId="0" quotePrefix="1" applyFont="1" applyFill="1" applyBorder="1" applyAlignment="1">
      <alignment horizontal="center" vertical="center" textRotation="90"/>
    </xf>
    <xf numFmtId="0" fontId="14" fillId="6" borderId="16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32"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Documents/Manual%20de%20organizaci&#243;n/MOP%20ECRO.docx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70151</xdr:rowOff>
    </xdr:from>
    <xdr:to>
      <xdr:col>3</xdr:col>
      <xdr:colOff>0</xdr:colOff>
      <xdr:row>6</xdr:row>
      <xdr:rowOff>25615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70151"/>
          <a:ext cx="971549" cy="1098464"/>
        </a:xfrm>
        <a:prstGeom prst="rect">
          <a:avLst/>
        </a:prstGeom>
      </xdr:spPr>
    </xdr:pic>
    <xdr:clientData/>
  </xdr:twoCellAnchor>
  <xdr:twoCellAnchor>
    <xdr:from>
      <xdr:col>3</xdr:col>
      <xdr:colOff>47625</xdr:colOff>
      <xdr:row>3</xdr:row>
      <xdr:rowOff>142875</xdr:rowOff>
    </xdr:from>
    <xdr:to>
      <xdr:col>5</xdr:col>
      <xdr:colOff>95250</xdr:colOff>
      <xdr:row>6</xdr:row>
      <xdr:rowOff>9525</xdr:rowOff>
    </xdr:to>
    <xdr:sp macro="" textlink="">
      <xdr:nvSpPr>
        <xdr:cNvPr id="5" name="4 CuadroTexto"/>
        <xdr:cNvSpPr txBox="1"/>
      </xdr:nvSpPr>
      <xdr:spPr>
        <a:xfrm>
          <a:off x="1304925" y="714375"/>
          <a:ext cx="400050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6" name="5 CuadroTexto"/>
        <xdr:cNvSpPr txBox="1"/>
      </xdr:nvSpPr>
      <xdr:spPr>
        <a:xfrm>
          <a:off x="1847850" y="161925"/>
          <a:ext cx="63531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552450</xdr:colOff>
      <xdr:row>3</xdr:row>
      <xdr:rowOff>124738</xdr:rowOff>
    </xdr:from>
    <xdr:to>
      <xdr:col>18</xdr:col>
      <xdr:colOff>133350</xdr:colOff>
      <xdr:row>7</xdr:row>
      <xdr:rowOff>38099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96238"/>
          <a:ext cx="3257550" cy="675361"/>
        </a:xfrm>
        <a:prstGeom prst="rect">
          <a:avLst/>
        </a:prstGeom>
      </xdr:spPr>
    </xdr:pic>
    <xdr:clientData/>
  </xdr:twoCellAnchor>
  <xdr:twoCellAnchor>
    <xdr:from>
      <xdr:col>10</xdr:col>
      <xdr:colOff>28575</xdr:colOff>
      <xdr:row>17</xdr:row>
      <xdr:rowOff>95250</xdr:rowOff>
    </xdr:from>
    <xdr:to>
      <xdr:col>18</xdr:col>
      <xdr:colOff>57150</xdr:colOff>
      <xdr:row>25</xdr:row>
      <xdr:rowOff>95250</xdr:rowOff>
    </xdr:to>
    <xdr:sp macro="" textlink="">
      <xdr:nvSpPr>
        <xdr:cNvPr id="8" name="7 CuadroTexto">
          <a:hlinkClick xmlns:r="http://schemas.openxmlformats.org/officeDocument/2006/relationships" r:id="rId3"/>
        </xdr:cNvPr>
        <xdr:cNvSpPr txBox="1"/>
      </xdr:nvSpPr>
      <xdr:spPr>
        <a:xfrm>
          <a:off x="5991225" y="4038600"/>
          <a:ext cx="2609850" cy="1524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 diarias de acuerdo al </a:t>
          </a:r>
          <a:r>
            <a:rPr lang="es-MX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Manual de Organización y Procedimientos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Escuela de conservación y Restauración de Occidente  (ref.: MOP pág. 37)</a:t>
          </a:r>
        </a:p>
        <a:p>
          <a:pPr algn="ctr" rtl="0" fontAlgn="base"/>
          <a:endParaRPr lang="es-MX">
            <a:effectLst/>
          </a:endParaRPr>
        </a:p>
        <a:p>
          <a:pPr algn="ctr" rtl="0" fontAlgn="base"/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Nota: se señalan las actividades sobresalientes inherentes al cargo. *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136826</xdr:rowOff>
    </xdr:from>
    <xdr:to>
      <xdr:col>3</xdr:col>
      <xdr:colOff>342900</xdr:colOff>
      <xdr:row>7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6826"/>
          <a:ext cx="14001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542925</xdr:colOff>
      <xdr:row>3</xdr:row>
      <xdr:rowOff>142875</xdr:rowOff>
    </xdr:from>
    <xdr:to>
      <xdr:col>19</xdr:col>
      <xdr:colOff>190500</xdr:colOff>
      <xdr:row>7</xdr:row>
      <xdr:rowOff>180975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714375"/>
          <a:ext cx="3629025" cy="800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174926</xdr:rowOff>
    </xdr:from>
    <xdr:to>
      <xdr:col>3</xdr:col>
      <xdr:colOff>352425</xdr:colOff>
      <xdr:row>7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4926"/>
          <a:ext cx="1352550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704850</xdr:colOff>
      <xdr:row>3</xdr:row>
      <xdr:rowOff>0</xdr:rowOff>
    </xdr:from>
    <xdr:to>
      <xdr:col>21</xdr:col>
      <xdr:colOff>285750</xdr:colOff>
      <xdr:row>7</xdr:row>
      <xdr:rowOff>38100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71500"/>
          <a:ext cx="4171950" cy="800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174926</xdr:rowOff>
    </xdr:from>
    <xdr:to>
      <xdr:col>3</xdr:col>
      <xdr:colOff>438150</xdr:colOff>
      <xdr:row>7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4926"/>
          <a:ext cx="14382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JURIDICO</a:t>
          </a:r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533399</xdr:colOff>
      <xdr:row>3</xdr:row>
      <xdr:rowOff>28575</xdr:rowOff>
    </xdr:from>
    <xdr:to>
      <xdr:col>21</xdr:col>
      <xdr:colOff>161924</xdr:colOff>
      <xdr:row>7</xdr:row>
      <xdr:rowOff>66675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4" y="600075"/>
          <a:ext cx="421957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23912</xdr:colOff>
      <xdr:row>0</xdr:row>
      <xdr:rowOff>70151</xdr:rowOff>
    </xdr:from>
    <xdr:to>
      <xdr:col>3</xdr:col>
      <xdr:colOff>276225</xdr:colOff>
      <xdr:row>7</xdr:row>
      <xdr:rowOff>104775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2" y="70151"/>
          <a:ext cx="1423888" cy="136812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11" name="10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12" name="11 CuadroTexto"/>
        <xdr:cNvSpPr txBox="1"/>
      </xdr:nvSpPr>
      <xdr:spPr>
        <a:xfrm>
          <a:off x="1847850" y="161925"/>
          <a:ext cx="63531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10</xdr:col>
      <xdr:colOff>95249</xdr:colOff>
      <xdr:row>4</xdr:row>
      <xdr:rowOff>29488</xdr:rowOff>
    </xdr:from>
    <xdr:to>
      <xdr:col>18</xdr:col>
      <xdr:colOff>295275</xdr:colOff>
      <xdr:row>7</xdr:row>
      <xdr:rowOff>19050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899" y="791488"/>
          <a:ext cx="2781301" cy="561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323850</xdr:colOff>
      <xdr:row>6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495425" cy="11966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3" name="2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10</xdr:col>
      <xdr:colOff>95249</xdr:colOff>
      <xdr:row>4</xdr:row>
      <xdr:rowOff>38100</xdr:rowOff>
    </xdr:from>
    <xdr:to>
      <xdr:col>20</xdr:col>
      <xdr:colOff>161925</xdr:colOff>
      <xdr:row>7</xdr:row>
      <xdr:rowOff>19050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899" y="800100"/>
          <a:ext cx="3257551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104775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276350" cy="1072849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95250</xdr:rowOff>
    </xdr:from>
    <xdr:to>
      <xdr:col>9</xdr:col>
      <xdr:colOff>104775</xdr:colOff>
      <xdr:row>6</xdr:row>
      <xdr:rowOff>152400</xdr:rowOff>
    </xdr:to>
    <xdr:sp macro="" textlink="">
      <xdr:nvSpPr>
        <xdr:cNvPr id="3" name="2 CuadroTexto"/>
        <xdr:cNvSpPr txBox="1"/>
      </xdr:nvSpPr>
      <xdr:spPr>
        <a:xfrm>
          <a:off x="1990725" y="857250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9</xdr:col>
      <xdr:colOff>123825</xdr:colOff>
      <xdr:row>3</xdr:row>
      <xdr:rowOff>133350</xdr:rowOff>
    </xdr:from>
    <xdr:to>
      <xdr:col>23</xdr:col>
      <xdr:colOff>114301</xdr:colOff>
      <xdr:row>7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704850"/>
          <a:ext cx="4429126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342900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514475" cy="131097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4</xdr:row>
      <xdr:rowOff>85725</xdr:rowOff>
    </xdr:from>
    <xdr:to>
      <xdr:col>5</xdr:col>
      <xdr:colOff>266700</xdr:colOff>
      <xdr:row>6</xdr:row>
      <xdr:rowOff>142875</xdr:rowOff>
    </xdr:to>
    <xdr:sp macro="" textlink="">
      <xdr:nvSpPr>
        <xdr:cNvPr id="3" name="2 CuadroTexto"/>
        <xdr:cNvSpPr txBox="1"/>
      </xdr:nvSpPr>
      <xdr:spPr>
        <a:xfrm>
          <a:off x="1390650" y="84772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428626</xdr:colOff>
      <xdr:row>2</xdr:row>
      <xdr:rowOff>171450</xdr:rowOff>
    </xdr:from>
    <xdr:to>
      <xdr:col>22</xdr:col>
      <xdr:colOff>295276</xdr:colOff>
      <xdr:row>7</xdr:row>
      <xdr:rowOff>19050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552450"/>
          <a:ext cx="47625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447675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619250" cy="131097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4</xdr:row>
      <xdr:rowOff>85725</xdr:rowOff>
    </xdr:from>
    <xdr:to>
      <xdr:col>5</xdr:col>
      <xdr:colOff>266700</xdr:colOff>
      <xdr:row>6</xdr:row>
      <xdr:rowOff>142875</xdr:rowOff>
    </xdr:to>
    <xdr:sp macro="" textlink="">
      <xdr:nvSpPr>
        <xdr:cNvPr id="3" name="2 CuadroTexto"/>
        <xdr:cNvSpPr txBox="1"/>
      </xdr:nvSpPr>
      <xdr:spPr>
        <a:xfrm>
          <a:off x="1390650" y="84772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</a:t>
          </a:r>
          <a:r>
            <a:rPr lang="es-MX" sz="1600" b="1" baseline="0"/>
            <a:t> JURIDICO 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104774</xdr:colOff>
      <xdr:row>3</xdr:row>
      <xdr:rowOff>9525</xdr:rowOff>
    </xdr:from>
    <xdr:to>
      <xdr:col>21</xdr:col>
      <xdr:colOff>142875</xdr:colOff>
      <xdr:row>7</xdr:row>
      <xdr:rowOff>47625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49" y="581025"/>
          <a:ext cx="4629151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476250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64782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695325</xdr:colOff>
      <xdr:row>3</xdr:row>
      <xdr:rowOff>66675</xdr:rowOff>
    </xdr:from>
    <xdr:to>
      <xdr:col>21</xdr:col>
      <xdr:colOff>66675</xdr:colOff>
      <xdr:row>7</xdr:row>
      <xdr:rowOff>104775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38175"/>
          <a:ext cx="39624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98726</xdr:rowOff>
    </xdr:from>
    <xdr:to>
      <xdr:col>3</xdr:col>
      <xdr:colOff>381000</xdr:colOff>
      <xdr:row>7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6"/>
          <a:ext cx="1552575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676275</xdr:colOff>
      <xdr:row>3</xdr:row>
      <xdr:rowOff>114300</xdr:rowOff>
    </xdr:from>
    <xdr:to>
      <xdr:col>23</xdr:col>
      <xdr:colOff>314324</xdr:colOff>
      <xdr:row>7</xdr:row>
      <xdr:rowOff>152400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685800"/>
          <a:ext cx="4838699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136826</xdr:rowOff>
    </xdr:from>
    <xdr:to>
      <xdr:col>3</xdr:col>
      <xdr:colOff>371475</xdr:colOff>
      <xdr:row>7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6826"/>
          <a:ext cx="1428750" cy="1310974"/>
        </a:xfrm>
        <a:prstGeom prst="rect">
          <a:avLst/>
        </a:prstGeom>
      </xdr:spPr>
    </xdr:pic>
    <xdr:clientData/>
  </xdr:twoCellAnchor>
  <xdr:twoCellAnchor>
    <xdr:from>
      <xdr:col>3</xdr:col>
      <xdr:colOff>819150</xdr:colOff>
      <xdr:row>4</xdr:row>
      <xdr:rowOff>104775</xdr:rowOff>
    </xdr:from>
    <xdr:to>
      <xdr:col>9</xdr:col>
      <xdr:colOff>104775</xdr:colOff>
      <xdr:row>6</xdr:row>
      <xdr:rowOff>161925</xdr:rowOff>
    </xdr:to>
    <xdr:sp macro="" textlink="">
      <xdr:nvSpPr>
        <xdr:cNvPr id="3" name="2 CuadroTexto"/>
        <xdr:cNvSpPr txBox="1"/>
      </xdr:nvSpPr>
      <xdr:spPr>
        <a:xfrm>
          <a:off x="1990725" y="866775"/>
          <a:ext cx="374332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JEFATURA </a:t>
          </a:r>
          <a:r>
            <a:rPr lang="es-MX" sz="1600" b="1" baseline="0"/>
            <a:t> JURIDICO</a:t>
          </a:r>
          <a:endParaRPr lang="es-MX" sz="1600" b="1"/>
        </a:p>
      </xdr:txBody>
    </xdr:sp>
    <xdr:clientData/>
  </xdr:twoCellAnchor>
  <xdr:twoCellAnchor>
    <xdr:from>
      <xdr:col>3</xdr:col>
      <xdr:colOff>590550</xdr:colOff>
      <xdr:row>0</xdr:row>
      <xdr:rowOff>161925</xdr:rowOff>
    </xdr:from>
    <xdr:to>
      <xdr:col>15</xdr:col>
      <xdr:colOff>57150</xdr:colOff>
      <xdr:row>2</xdr:row>
      <xdr:rowOff>161925</xdr:rowOff>
    </xdr:to>
    <xdr:sp macro="" textlink="">
      <xdr:nvSpPr>
        <xdr:cNvPr id="4" name="3 CuadroTexto"/>
        <xdr:cNvSpPr txBox="1"/>
      </xdr:nvSpPr>
      <xdr:spPr>
        <a:xfrm>
          <a:off x="1762125" y="161925"/>
          <a:ext cx="59245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ESCUELA DE CONSERVACIÓN Y RESTAURACIÓN</a:t>
          </a:r>
          <a:r>
            <a:rPr lang="es-MX" sz="1600" b="1" baseline="0"/>
            <a:t> DE OCCIDENTE</a:t>
          </a:r>
          <a:endParaRPr lang="es-MX" sz="1600" b="1"/>
        </a:p>
      </xdr:txBody>
    </xdr:sp>
    <xdr:clientData/>
  </xdr:twoCellAnchor>
  <xdr:twoCellAnchor editAs="oneCell">
    <xdr:from>
      <xdr:col>5</xdr:col>
      <xdr:colOff>466725</xdr:colOff>
      <xdr:row>3</xdr:row>
      <xdr:rowOff>28575</xdr:rowOff>
    </xdr:from>
    <xdr:to>
      <xdr:col>22</xdr:col>
      <xdr:colOff>76199</xdr:colOff>
      <xdr:row>7</xdr:row>
      <xdr:rowOff>66675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600075"/>
          <a:ext cx="4505324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/Downloads/calendario%20DIRE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>
        <row r="2">
          <cell r="N2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R29"/>
  <sheetViews>
    <sheetView showWhiteSpace="0" zoomScaleNormal="100"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8" ht="15.75" customHeight="1" thickBot="1" x14ac:dyDescent="0.3"/>
    <row r="9" spans="3:18" ht="51.75" customHeight="1" thickBot="1" x14ac:dyDescent="0.3">
      <c r="C9" s="6" t="s">
        <v>7</v>
      </c>
      <c r="D9" s="6" t="s">
        <v>8</v>
      </c>
      <c r="E9" s="6" t="s">
        <v>9</v>
      </c>
      <c r="F9" s="6" t="s">
        <v>10</v>
      </c>
      <c r="K9" s="59" t="s">
        <v>11</v>
      </c>
      <c r="L9" s="2" t="s">
        <v>0</v>
      </c>
      <c r="M9" s="2" t="s">
        <v>1</v>
      </c>
      <c r="N9" s="2" t="s">
        <v>2</v>
      </c>
      <c r="O9" s="2" t="s">
        <v>3</v>
      </c>
      <c r="P9" s="2" t="s">
        <v>4</v>
      </c>
      <c r="Q9" s="2" t="s">
        <v>5</v>
      </c>
      <c r="R9" s="2" t="s">
        <v>6</v>
      </c>
    </row>
    <row r="10" spans="3:18" ht="28.5" customHeight="1" thickBot="1" x14ac:dyDescent="0.3">
      <c r="C10" s="11"/>
      <c r="D10" s="7"/>
      <c r="E10" s="8"/>
      <c r="F10" s="7"/>
      <c r="K10" s="60"/>
      <c r="L10" s="14">
        <v>28</v>
      </c>
      <c r="M10" s="14">
        <v>29</v>
      </c>
      <c r="N10" s="14">
        <v>30</v>
      </c>
      <c r="O10" s="14">
        <v>31</v>
      </c>
      <c r="P10" s="3">
        <v>1</v>
      </c>
      <c r="Q10" s="3">
        <v>2</v>
      </c>
      <c r="R10" s="3">
        <v>3</v>
      </c>
    </row>
    <row r="11" spans="3:18" ht="15.75" thickBot="1" x14ac:dyDescent="0.3">
      <c r="C11" s="12"/>
      <c r="D11" s="9"/>
      <c r="E11" s="9"/>
      <c r="F11" s="9"/>
      <c r="K11" s="60"/>
      <c r="L11" s="3">
        <v>4</v>
      </c>
      <c r="M11" s="3">
        <v>5</v>
      </c>
      <c r="N11" s="3">
        <v>6</v>
      </c>
      <c r="O11" s="3">
        <v>7</v>
      </c>
      <c r="P11" s="3">
        <v>8</v>
      </c>
      <c r="Q11" s="3">
        <v>9</v>
      </c>
      <c r="R11" s="3">
        <v>10</v>
      </c>
    </row>
    <row r="12" spans="3:18" ht="15.75" thickBot="1" x14ac:dyDescent="0.3">
      <c r="C12" s="13"/>
      <c r="D12" s="10"/>
      <c r="E12" s="10"/>
      <c r="F12" s="10"/>
      <c r="K12" s="60"/>
      <c r="L12" s="3">
        <v>11</v>
      </c>
      <c r="M12" s="3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</row>
    <row r="13" spans="3:18" ht="15.75" thickBot="1" x14ac:dyDescent="0.3">
      <c r="C13" s="12"/>
      <c r="D13" s="9"/>
      <c r="E13" s="9"/>
      <c r="F13" s="9"/>
      <c r="K13" s="60"/>
      <c r="L13" s="3">
        <v>18</v>
      </c>
      <c r="M13" s="3">
        <v>19</v>
      </c>
      <c r="N13" s="3">
        <v>20</v>
      </c>
      <c r="O13" s="3">
        <v>21</v>
      </c>
      <c r="P13" s="3">
        <v>22</v>
      </c>
      <c r="Q13" s="3">
        <v>23</v>
      </c>
      <c r="R13" s="3">
        <v>24</v>
      </c>
    </row>
    <row r="14" spans="3:18" ht="15.75" thickBot="1" x14ac:dyDescent="0.3">
      <c r="C14" s="13"/>
      <c r="D14" s="10"/>
      <c r="E14" s="10"/>
      <c r="F14" s="10"/>
      <c r="K14" s="60"/>
      <c r="L14" s="3">
        <v>25</v>
      </c>
      <c r="M14" s="3">
        <v>26</v>
      </c>
      <c r="N14" s="3">
        <v>27</v>
      </c>
      <c r="O14" s="3">
        <v>28</v>
      </c>
      <c r="P14" s="3">
        <v>29</v>
      </c>
      <c r="Q14" s="3">
        <v>30</v>
      </c>
      <c r="R14" s="3">
        <v>31</v>
      </c>
    </row>
    <row r="15" spans="3:18" ht="15.75" thickBot="1" x14ac:dyDescent="0.3">
      <c r="C15" s="12"/>
      <c r="D15" s="9"/>
      <c r="E15" s="9"/>
      <c r="F15" s="9"/>
      <c r="K15" s="60"/>
      <c r="L15" s="4">
        <v>1</v>
      </c>
      <c r="M15" s="4">
        <v>2</v>
      </c>
      <c r="N15" s="4">
        <v>3</v>
      </c>
      <c r="O15" s="4">
        <v>4</v>
      </c>
      <c r="P15" s="4">
        <v>5</v>
      </c>
      <c r="Q15" s="4">
        <v>6</v>
      </c>
      <c r="R15" s="4">
        <v>7</v>
      </c>
    </row>
    <row r="16" spans="3:18" ht="15.75" thickBot="1" x14ac:dyDescent="0.3">
      <c r="C16" s="13"/>
      <c r="D16" s="10"/>
      <c r="E16" s="10"/>
      <c r="F16" s="10"/>
      <c r="K16" s="61"/>
      <c r="L16" s="5"/>
      <c r="M16" s="5"/>
      <c r="N16" s="5"/>
      <c r="O16" s="5"/>
      <c r="P16" s="5"/>
      <c r="Q16" s="5"/>
      <c r="R16" s="5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  <row r="28" spans="3:6" x14ac:dyDescent="0.25">
      <c r="C28" s="12"/>
      <c r="D28" s="9"/>
      <c r="E28" s="9"/>
      <c r="F28" s="9"/>
    </row>
    <row r="29" spans="3:6" x14ac:dyDescent="0.25">
      <c r="C29" s="10"/>
      <c r="D29" s="10"/>
      <c r="E29" s="10"/>
      <c r="F29" s="10"/>
    </row>
  </sheetData>
  <mergeCells count="1">
    <mergeCell ref="K9:K16"/>
  </mergeCells>
  <pageMargins left="0.23622047244094491" right="0.23622047244094491" top="0.74803149606299213" bottom="1.3385826771653544" header="0.31496062992125984" footer="0.31496062992125984"/>
  <pageSetup orientation="landscape" horizontalDpi="0" verticalDpi="0" r:id="rId1"/>
  <headerFooter>
    <oddHeader xml:space="preserve">&amp;C
ESCUELA DE CONSERVACIÓN Y RESTAURACIÓN DE OCCIDENTE 
</oddHeader>
    <oddFooter xml:space="preserve">&amp;C&amp;10Actividades diarias de acuerdo al Manual de Organización y Procedimientos de la
Escuela de conservación y Restauración de Occidente  (ref.: MOP pág. 37)
* Nota: se señalan las actividades sobresalientes inherentes al cargo. * &amp;11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6"/>
  <sheetViews>
    <sheetView topLeftCell="A8" workbookViewId="0">
      <selection activeCell="B16" sqref="B16:F16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8.2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75" t="s">
        <v>20</v>
      </c>
      <c r="L9" s="43" t="s">
        <v>0</v>
      </c>
      <c r="M9" s="43" t="s">
        <v>1</v>
      </c>
      <c r="N9" s="43" t="s">
        <v>2</v>
      </c>
      <c r="O9" s="43" t="s">
        <v>3</v>
      </c>
      <c r="P9" s="43" t="s">
        <v>4</v>
      </c>
      <c r="Q9" s="43" t="s">
        <v>5</v>
      </c>
      <c r="R9" s="43" t="s">
        <v>6</v>
      </c>
      <c r="S9" s="47"/>
    </row>
    <row r="10" spans="3:19" ht="45" customHeight="1" x14ac:dyDescent="0.25">
      <c r="C10" s="58">
        <v>42669</v>
      </c>
      <c r="D10" s="7" t="s">
        <v>45</v>
      </c>
      <c r="E10" s="8" t="s">
        <v>46</v>
      </c>
      <c r="F10" s="7" t="s">
        <v>44</v>
      </c>
      <c r="K10" s="71"/>
      <c r="L10" s="44">
        <f>IF(DAY(OctDom1)=1,OctDom1-6,OctDom1+1)</f>
        <v>42639</v>
      </c>
      <c r="M10" s="44">
        <f>IF(DAY(OctDom1)=1,OctDom1-5,OctDom1+2)</f>
        <v>42640</v>
      </c>
      <c r="N10" s="44">
        <f>IF(DAY(OctDom1)=1,OctDom1-4,OctDom1+3)</f>
        <v>42641</v>
      </c>
      <c r="O10" s="44">
        <f>IF(DAY(OctDom1)=1,OctDom1-3,OctDom1+4)</f>
        <v>42642</v>
      </c>
      <c r="P10" s="44">
        <f>IF(DAY(OctDom1)=1,OctDom1-2,OctDom1+5)</f>
        <v>42643</v>
      </c>
      <c r="Q10" s="44">
        <f>IF(DAY(OctDom1)=1,OctDom1-1,OctDom1+6)</f>
        <v>42644</v>
      </c>
      <c r="R10" s="44">
        <f>IF(DAY(OctDom1)=1,OctDom1,OctDom1+7)</f>
        <v>42645</v>
      </c>
      <c r="S10" s="47"/>
    </row>
    <row r="11" spans="3:19" x14ac:dyDescent="0.25">
      <c r="C11" s="12"/>
      <c r="D11" s="9"/>
      <c r="E11" s="9"/>
      <c r="F11" s="9"/>
      <c r="K11" s="71"/>
      <c r="L11" s="44">
        <f>IF(DAY(OctDom1)=1,OctDom1+1,OctDom1+8)</f>
        <v>42646</v>
      </c>
      <c r="M11" s="44">
        <f>IF(DAY(OctDom1)=1,OctDom1+2,OctDom1+9)</f>
        <v>42647</v>
      </c>
      <c r="N11" s="44">
        <f>IF(DAY(OctDom1)=1,OctDom1+3,OctDom1+10)</f>
        <v>42648</v>
      </c>
      <c r="O11" s="44">
        <f>IF(DAY(OctDom1)=1,OctDom1+4,OctDom1+11)</f>
        <v>42649</v>
      </c>
      <c r="P11" s="44">
        <f>IF(DAY(OctDom1)=1,OctDom1+5,OctDom1+12)</f>
        <v>42650</v>
      </c>
      <c r="Q11" s="44">
        <f>IF(DAY(OctDom1)=1,OctDom1+6,OctDom1+13)</f>
        <v>42651</v>
      </c>
      <c r="R11" s="44">
        <f>IF(DAY(OctDom1)=1,OctDom1+7,OctDom1+14)</f>
        <v>42652</v>
      </c>
      <c r="S11" s="47"/>
    </row>
    <row r="12" spans="3:19" x14ac:dyDescent="0.25">
      <c r="C12" s="13"/>
      <c r="D12" s="10"/>
      <c r="E12" s="10"/>
      <c r="F12" s="10"/>
      <c r="K12" s="71"/>
      <c r="L12" s="44">
        <f>IF(DAY(OctDom1)=1,OctDom1+8,OctDom1+15)</f>
        <v>42653</v>
      </c>
      <c r="M12" s="44">
        <f>IF(DAY(OctDom1)=1,OctDom1+9,OctDom1+16)</f>
        <v>42654</v>
      </c>
      <c r="N12" s="44">
        <f>IF(DAY(OctDom1)=1,OctDom1+10,OctDom1+17)</f>
        <v>42655</v>
      </c>
      <c r="O12" s="44">
        <f>IF(DAY(OctDom1)=1,OctDom1+11,OctDom1+18)</f>
        <v>42656</v>
      </c>
      <c r="P12" s="44">
        <f>IF(DAY(OctDom1)=1,OctDom1+12,OctDom1+19)</f>
        <v>42657</v>
      </c>
      <c r="Q12" s="44">
        <f>IF(DAY(OctDom1)=1,OctDom1+13,OctDom1+20)</f>
        <v>42658</v>
      </c>
      <c r="R12" s="44">
        <f>IF(DAY(OctDom1)=1,OctDom1+14,OctDom1+21)</f>
        <v>42659</v>
      </c>
      <c r="S12" s="47"/>
    </row>
    <row r="13" spans="3:19" x14ac:dyDescent="0.25">
      <c r="C13" s="12"/>
      <c r="D13" s="9"/>
      <c r="E13" s="9"/>
      <c r="F13" s="9"/>
      <c r="K13" s="71"/>
      <c r="L13" s="44">
        <f>IF(DAY(OctDom1)=1,OctDom1+15,OctDom1+22)</f>
        <v>42660</v>
      </c>
      <c r="M13" s="44">
        <f>IF(DAY(OctDom1)=1,OctDom1+16,OctDom1+23)</f>
        <v>42661</v>
      </c>
      <c r="N13" s="44">
        <f>IF(DAY(OctDom1)=1,OctDom1+17,OctDom1+24)</f>
        <v>42662</v>
      </c>
      <c r="O13" s="44">
        <f>IF(DAY(OctDom1)=1,OctDom1+18,OctDom1+25)</f>
        <v>42663</v>
      </c>
      <c r="P13" s="44">
        <f>IF(DAY(OctDom1)=1,OctDom1+19,OctDom1+26)</f>
        <v>42664</v>
      </c>
      <c r="Q13" s="44">
        <f>IF(DAY(OctDom1)=1,OctDom1+20,OctDom1+27)</f>
        <v>42665</v>
      </c>
      <c r="R13" s="44">
        <f>IF(DAY(OctDom1)=1,OctDom1+21,OctDom1+28)</f>
        <v>42666</v>
      </c>
      <c r="S13" s="47"/>
    </row>
    <row r="14" spans="3:19" x14ac:dyDescent="0.25">
      <c r="C14" s="13"/>
      <c r="D14" s="10"/>
      <c r="E14" s="10"/>
      <c r="F14" s="10"/>
      <c r="K14" s="71"/>
      <c r="L14" s="44">
        <f>IF(DAY(OctDom1)=1,OctDom1+22,OctDom1+29)</f>
        <v>42667</v>
      </c>
      <c r="M14" s="44">
        <f>IF(DAY(OctDom1)=1,OctDom1+23,OctDom1+30)</f>
        <v>42668</v>
      </c>
      <c r="N14" s="44">
        <f>IF(DAY(OctDom1)=1,OctDom1+24,OctDom1+31)</f>
        <v>42669</v>
      </c>
      <c r="O14" s="44">
        <f>IF(DAY(OctDom1)=1,OctDom1+25,OctDom1+32)</f>
        <v>42670</v>
      </c>
      <c r="P14" s="44">
        <f>IF(DAY(OctDom1)=1,OctDom1+26,OctDom1+33)</f>
        <v>42671</v>
      </c>
      <c r="Q14" s="44">
        <f>IF(DAY(OctDom1)=1,OctDom1+27,OctDom1+34)</f>
        <v>42672</v>
      </c>
      <c r="R14" s="44">
        <f>IF(DAY(OctDom1)=1,OctDom1+28,OctDom1+35)</f>
        <v>42673</v>
      </c>
      <c r="S14" s="47"/>
    </row>
    <row r="15" spans="3:19" x14ac:dyDescent="0.25">
      <c r="C15" s="12"/>
      <c r="D15" s="9"/>
      <c r="E15" s="9"/>
      <c r="F15" s="9"/>
      <c r="K15" s="71"/>
      <c r="L15" s="44">
        <f>IF(DAY(OctDom1)=1,OctDom1+29,OctDom1+36)</f>
        <v>42674</v>
      </c>
      <c r="M15" s="44">
        <f>IF(DAY(OctDom1)=1,OctDom1+30,OctDom1+37)</f>
        <v>42675</v>
      </c>
      <c r="N15" s="44">
        <f>IF(DAY(OctDom1)=1,OctDom1+31,OctDom1+38)</f>
        <v>42676</v>
      </c>
      <c r="O15" s="44">
        <f>IF(DAY(OctDom1)=1,OctDom1+32,OctDom1+39)</f>
        <v>42677</v>
      </c>
      <c r="P15" s="44">
        <f>IF(DAY(OctDom1)=1,OctDom1+33,OctDom1+40)</f>
        <v>42678</v>
      </c>
      <c r="Q15" s="44">
        <f>IF(DAY(OctDom1)=1,OctDom1+34,OctDom1+41)</f>
        <v>42679</v>
      </c>
      <c r="R15" s="44">
        <f>IF(DAY(OctDom1)=1,OctDom1+35,OctDom1+42)</f>
        <v>42680</v>
      </c>
      <c r="S15" s="47"/>
    </row>
    <row r="16" spans="3:19" ht="135" x14ac:dyDescent="0.25">
      <c r="C16" s="12"/>
      <c r="D16" s="9"/>
      <c r="E16" s="9"/>
      <c r="F16" s="9"/>
      <c r="G16" s="7" t="s">
        <v>44</v>
      </c>
      <c r="K16" s="76"/>
      <c r="L16" s="48"/>
      <c r="M16" s="48"/>
      <c r="N16" s="48"/>
      <c r="O16" s="48"/>
      <c r="P16" s="48"/>
      <c r="Q16" s="48"/>
      <c r="R16" s="48"/>
      <c r="S16" s="49"/>
    </row>
    <row r="17" spans="3:6" x14ac:dyDescent="0.25">
      <c r="C17" s="13"/>
      <c r="D17" s="10"/>
      <c r="E17" s="10"/>
      <c r="F17" s="10"/>
    </row>
    <row r="18" spans="3:6" x14ac:dyDescent="0.25">
      <c r="C18" s="12"/>
      <c r="D18" s="9"/>
      <c r="E18" s="9"/>
      <c r="F18" s="9"/>
    </row>
    <row r="19" spans="3:6" ht="15" customHeight="1" x14ac:dyDescent="0.25">
      <c r="C19" s="13"/>
      <c r="D19" s="10"/>
      <c r="E19" s="10"/>
      <c r="F19" s="10"/>
    </row>
    <row r="20" spans="3:6" x14ac:dyDescent="0.25">
      <c r="C20" s="12"/>
      <c r="D20" s="9"/>
      <c r="E20" s="9"/>
      <c r="F20" s="9"/>
    </row>
    <row r="21" spans="3:6" x14ac:dyDescent="0.25">
      <c r="C21" s="13"/>
      <c r="D21" s="10"/>
      <c r="E21" s="10"/>
      <c r="F21" s="10"/>
    </row>
    <row r="22" spans="3:6" x14ac:dyDescent="0.25">
      <c r="C22" s="12"/>
      <c r="D22" s="9"/>
      <c r="E22" s="9"/>
      <c r="F22" s="9"/>
    </row>
    <row r="23" spans="3:6" x14ac:dyDescent="0.25">
      <c r="C23" s="13"/>
      <c r="D23" s="10"/>
      <c r="E23" s="10"/>
      <c r="F23" s="10"/>
    </row>
    <row r="24" spans="3:6" x14ac:dyDescent="0.25">
      <c r="C24" s="12"/>
      <c r="D24" s="9"/>
      <c r="E24" s="9"/>
      <c r="F24" s="9"/>
    </row>
    <row r="25" spans="3:6" x14ac:dyDescent="0.25">
      <c r="C25" s="13"/>
      <c r="D25" s="10"/>
      <c r="E25" s="10"/>
      <c r="F25" s="10"/>
    </row>
    <row r="26" spans="3:6" x14ac:dyDescent="0.25">
      <c r="C26" s="12"/>
      <c r="D26" s="9"/>
      <c r="E26" s="9"/>
      <c r="F26" s="9"/>
    </row>
  </sheetData>
  <mergeCells count="1">
    <mergeCell ref="K9:K16"/>
  </mergeCells>
  <conditionalFormatting sqref="L10:Q10">
    <cfRule type="expression" dxfId="8" priority="2" stopIfTrue="1">
      <formula>DAY(L10)&gt;8</formula>
    </cfRule>
  </conditionalFormatting>
  <conditionalFormatting sqref="L14:R15">
    <cfRule type="expression" dxfId="7" priority="1" stopIfTrue="1">
      <formula>AND(DAY(L14)&gt;=1,DAY(L14)&lt;=15)</formula>
    </cfRule>
  </conditionalFormatting>
  <conditionalFormatting sqref="L10:R15">
    <cfRule type="expression" dxfId="6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workbookViewId="0">
      <selection activeCell="C14" sqref="C14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0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77" t="s">
        <v>21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47"/>
    </row>
    <row r="10" spans="3:19" ht="45" customHeight="1" x14ac:dyDescent="0.25">
      <c r="C10" s="58" t="s">
        <v>50</v>
      </c>
      <c r="D10" s="7" t="s">
        <v>47</v>
      </c>
      <c r="E10" s="8" t="s">
        <v>48</v>
      </c>
      <c r="F10" s="7" t="s">
        <v>49</v>
      </c>
      <c r="K10" s="78"/>
      <c r="L10" s="50"/>
      <c r="M10" s="50"/>
      <c r="N10" s="50"/>
      <c r="O10" s="50"/>
      <c r="P10" s="50"/>
      <c r="Q10" s="50"/>
      <c r="R10" s="50"/>
      <c r="S10" s="47"/>
    </row>
    <row r="11" spans="3:19" x14ac:dyDescent="0.25">
      <c r="C11" s="12"/>
      <c r="D11" s="9"/>
      <c r="E11" s="9"/>
      <c r="F11" s="9"/>
      <c r="K11" s="78"/>
      <c r="L11" s="44">
        <f>IF(DAY(NovDom1)=1,NovDom1-6,NovDom1+1)</f>
        <v>42674</v>
      </c>
      <c r="M11" s="44">
        <f>IF(DAY(NovDom1)=1,NovDom1-5,NovDom1+2)</f>
        <v>42675</v>
      </c>
      <c r="N11" s="44">
        <f>IF(DAY(NovDom1)=1,NovDom1-4,NovDom1+3)</f>
        <v>42676</v>
      </c>
      <c r="O11" s="44">
        <f>IF(DAY(NovDom1)=1,NovDom1-3,NovDom1+4)</f>
        <v>42677</v>
      </c>
      <c r="P11" s="44">
        <f>IF(DAY(NovDom1)=1,NovDom1-2,NovDom1+5)</f>
        <v>42678</v>
      </c>
      <c r="Q11" s="44">
        <f>IF(DAY(NovDom1)=1,NovDom1-1,NovDom1+6)</f>
        <v>42679</v>
      </c>
      <c r="R11" s="44">
        <f>IF(DAY(NovDom1)=1,NovDom1,NovDom1+7)</f>
        <v>42680</v>
      </c>
      <c r="S11" s="47"/>
    </row>
    <row r="12" spans="3:19" ht="15" customHeight="1" x14ac:dyDescent="0.25">
      <c r="C12" s="13" t="s">
        <v>51</v>
      </c>
      <c r="D12" s="10" t="s">
        <v>47</v>
      </c>
      <c r="E12" s="10" t="s">
        <v>48</v>
      </c>
      <c r="F12" s="10" t="s">
        <v>49</v>
      </c>
      <c r="K12" s="78"/>
      <c r="L12" s="44">
        <f>IF(DAY(NovDom1)=1,NovDom1+1,NovDom1+8)</f>
        <v>42681</v>
      </c>
      <c r="M12" s="44">
        <f>IF(DAY(NovDom1)=1,NovDom1+2,NovDom1+9)</f>
        <v>42682</v>
      </c>
      <c r="N12" s="44">
        <f>IF(DAY(NovDom1)=1,NovDom1+3,NovDom1+10)</f>
        <v>42683</v>
      </c>
      <c r="O12" s="44">
        <f>IF(DAY(NovDom1)=1,NovDom1+4,NovDom1+11)</f>
        <v>42684</v>
      </c>
      <c r="P12" s="44">
        <f>IF(DAY(NovDom1)=1,NovDom1+5,NovDom1+12)</f>
        <v>42685</v>
      </c>
      <c r="Q12" s="44">
        <f>IF(DAY(NovDom1)=1,NovDom1+6,NovDom1+13)</f>
        <v>42686</v>
      </c>
      <c r="R12" s="44">
        <f>IF(DAY(NovDom1)=1,NovDom1+7,NovDom1+14)</f>
        <v>42687</v>
      </c>
      <c r="S12" s="47"/>
    </row>
    <row r="13" spans="3:19" x14ac:dyDescent="0.25">
      <c r="C13" s="12"/>
      <c r="D13" s="9"/>
      <c r="E13" s="9"/>
      <c r="F13" s="9"/>
      <c r="K13" s="78"/>
      <c r="L13" s="44">
        <f>IF(DAY(NovDom1)=1,NovDom1+8,NovDom1+15)</f>
        <v>42688</v>
      </c>
      <c r="M13" s="44">
        <f>IF(DAY(NovDom1)=1,NovDom1+9,NovDom1+16)</f>
        <v>42689</v>
      </c>
      <c r="N13" s="44">
        <f>IF(DAY(NovDom1)=1,NovDom1+10,NovDom1+17)</f>
        <v>42690</v>
      </c>
      <c r="O13" s="44">
        <f>IF(DAY(NovDom1)=1,NovDom1+11,NovDom1+18)</f>
        <v>42691</v>
      </c>
      <c r="P13" s="44">
        <f>IF(DAY(NovDom1)=1,NovDom1+12,NovDom1+19)</f>
        <v>42692</v>
      </c>
      <c r="Q13" s="44">
        <f>IF(DAY(NovDom1)=1,NovDom1+13,NovDom1+20)</f>
        <v>42693</v>
      </c>
      <c r="R13" s="44">
        <f>IF(DAY(NovDom1)=1,NovDom1+14,NovDom1+21)</f>
        <v>42694</v>
      </c>
      <c r="S13" s="47"/>
    </row>
    <row r="14" spans="3:19" x14ac:dyDescent="0.25">
      <c r="C14" s="13"/>
      <c r="D14" s="10"/>
      <c r="E14" s="10"/>
      <c r="F14" s="10"/>
      <c r="K14" s="78"/>
      <c r="L14" s="44">
        <f>IF(DAY(NovDom1)=1,NovDom1+15,NovDom1+22)</f>
        <v>42695</v>
      </c>
      <c r="M14" s="44">
        <f>IF(DAY(NovDom1)=1,NovDom1+16,NovDom1+23)</f>
        <v>42696</v>
      </c>
      <c r="N14" s="44">
        <f>IF(DAY(NovDom1)=1,NovDom1+17,NovDom1+24)</f>
        <v>42697</v>
      </c>
      <c r="O14" s="44">
        <f>IF(DAY(NovDom1)=1,NovDom1+18,NovDom1+25)</f>
        <v>42698</v>
      </c>
      <c r="P14" s="44">
        <f>IF(DAY(NovDom1)=1,NovDom1+19,NovDom1+26)</f>
        <v>42699</v>
      </c>
      <c r="Q14" s="44">
        <f>IF(DAY(NovDom1)=1,NovDom1+20,NovDom1+27)</f>
        <v>42700</v>
      </c>
      <c r="R14" s="44">
        <f>IF(DAY(NovDom1)=1,NovDom1+21,NovDom1+28)</f>
        <v>42701</v>
      </c>
      <c r="S14" s="47"/>
    </row>
    <row r="15" spans="3:19" x14ac:dyDescent="0.25">
      <c r="C15" s="12"/>
      <c r="D15" s="9"/>
      <c r="E15" s="9"/>
      <c r="F15" s="9"/>
      <c r="K15" s="78"/>
      <c r="L15" s="44">
        <f>IF(DAY(NovDom1)=1,NovDom1+22,NovDom1+29)</f>
        <v>42702</v>
      </c>
      <c r="M15" s="44">
        <f>IF(DAY(NovDom1)=1,NovDom1+23,NovDom1+30)</f>
        <v>42703</v>
      </c>
      <c r="N15" s="44">
        <f>IF(DAY(NovDom1)=1,NovDom1+24,NovDom1+31)</f>
        <v>42704</v>
      </c>
      <c r="O15" s="44">
        <f>IF(DAY(NovDom1)=1,NovDom1+25,NovDom1+32)</f>
        <v>42705</v>
      </c>
      <c r="P15" s="44">
        <f>IF(DAY(NovDom1)=1,NovDom1+26,NovDom1+33)</f>
        <v>42706</v>
      </c>
      <c r="Q15" s="44">
        <f>IF(DAY(NovDom1)=1,NovDom1+27,NovDom1+34)</f>
        <v>42707</v>
      </c>
      <c r="R15" s="44">
        <f>IF(DAY(NovDom1)=1,NovDom1+28,NovDom1+35)</f>
        <v>42708</v>
      </c>
      <c r="S15" s="47"/>
    </row>
    <row r="16" spans="3:19" x14ac:dyDescent="0.25">
      <c r="C16" s="13"/>
      <c r="D16" s="10"/>
      <c r="E16" s="10"/>
      <c r="F16" s="10"/>
      <c r="K16" s="78"/>
      <c r="L16" s="44">
        <f>IF(DAY(NovDom1)=1,NovDom1+29,NovDom1+36)</f>
        <v>42709</v>
      </c>
      <c r="M16" s="44">
        <f>IF(DAY(NovDom1)=1,NovDom1+30,NovDom1+37)</f>
        <v>42710</v>
      </c>
      <c r="N16" s="44">
        <f>IF(DAY(NovDom1)=1,NovDom1+31,NovDom1+38)</f>
        <v>42711</v>
      </c>
      <c r="O16" s="44">
        <f>IF(DAY(NovDom1)=1,NovDom1+32,NovDom1+39)</f>
        <v>42712</v>
      </c>
      <c r="P16" s="44">
        <f>IF(DAY(NovDom1)=1,NovDom1+33,NovDom1+40)</f>
        <v>42713</v>
      </c>
      <c r="Q16" s="44">
        <f>IF(DAY(NovDom1)=1,NovDom1+34,NovDom1+41)</f>
        <v>42714</v>
      </c>
      <c r="R16" s="44">
        <f>IF(DAY(NovDom1)=1,NovDom1+35,NovDom1+42)</f>
        <v>42715</v>
      </c>
      <c r="S16" s="47"/>
    </row>
    <row r="17" spans="3:19" x14ac:dyDescent="0.25">
      <c r="C17" s="12"/>
      <c r="D17" s="9"/>
      <c r="E17" s="9"/>
      <c r="F17" s="9"/>
      <c r="K17" s="79"/>
      <c r="L17" s="51"/>
      <c r="M17" s="51"/>
      <c r="N17" s="51"/>
      <c r="O17" s="51"/>
      <c r="P17" s="51"/>
      <c r="Q17" s="51"/>
      <c r="R17" s="51"/>
      <c r="S17" s="52"/>
    </row>
    <row r="18" spans="3:19" x14ac:dyDescent="0.25">
      <c r="C18" s="13"/>
      <c r="D18" s="10"/>
      <c r="E18" s="10"/>
      <c r="F18" s="10"/>
    </row>
    <row r="19" spans="3:19" ht="15" customHeight="1" x14ac:dyDescent="0.25">
      <c r="C19" s="12"/>
      <c r="D19" s="9"/>
      <c r="E19" s="9"/>
      <c r="F19" s="9"/>
    </row>
    <row r="20" spans="3:19" x14ac:dyDescent="0.25">
      <c r="C20" s="13"/>
      <c r="D20" s="10"/>
      <c r="E20" s="10"/>
      <c r="F20" s="10"/>
    </row>
    <row r="21" spans="3:19" x14ac:dyDescent="0.25">
      <c r="C21" s="12"/>
      <c r="D21" s="9"/>
      <c r="E21" s="9"/>
      <c r="F21" s="9"/>
    </row>
    <row r="22" spans="3:19" x14ac:dyDescent="0.25">
      <c r="C22" s="13"/>
      <c r="D22" s="10"/>
      <c r="E22" s="10"/>
      <c r="F22" s="10"/>
    </row>
    <row r="23" spans="3:19" x14ac:dyDescent="0.25">
      <c r="C23" s="12"/>
      <c r="D23" s="9"/>
      <c r="E23" s="9"/>
      <c r="F23" s="9"/>
    </row>
    <row r="24" spans="3:19" x14ac:dyDescent="0.25">
      <c r="C24" s="13"/>
      <c r="D24" s="10"/>
      <c r="E24" s="10"/>
      <c r="F24" s="10"/>
    </row>
    <row r="25" spans="3:19" x14ac:dyDescent="0.25">
      <c r="C25" s="12"/>
      <c r="D25" s="9"/>
      <c r="E25" s="9"/>
      <c r="F25" s="9"/>
    </row>
    <row r="26" spans="3:19" x14ac:dyDescent="0.25">
      <c r="C26" s="13"/>
      <c r="D26" s="10"/>
      <c r="E26" s="10"/>
      <c r="F26" s="10"/>
    </row>
    <row r="27" spans="3:19" x14ac:dyDescent="0.25">
      <c r="C27" s="12"/>
      <c r="D27" s="9"/>
      <c r="E27" s="9"/>
      <c r="F27" s="9"/>
    </row>
  </sheetData>
  <mergeCells count="1">
    <mergeCell ref="K9:K17"/>
  </mergeCells>
  <conditionalFormatting sqref="L11:Q11">
    <cfRule type="expression" dxfId="5" priority="2" stopIfTrue="1">
      <formula>DAY(L11)&gt;8</formula>
    </cfRule>
  </conditionalFormatting>
  <conditionalFormatting sqref="L15:R17">
    <cfRule type="expression" dxfId="4" priority="1" stopIfTrue="1">
      <formula>AND(DAY(L15)&gt;=1,DAY(L15)&lt;=15)</formula>
    </cfRule>
  </conditionalFormatting>
  <conditionalFormatting sqref="L11:R16">
    <cfRule type="expression" dxfId="3" priority="3">
      <formula>VLOOKUP(DAY(L11),DíasDeTareas,1,FALSE)=DAY(L11)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tabSelected="1" workbookViewId="0">
      <selection activeCell="E12" sqref="E12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1.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77" t="s">
        <v>22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47"/>
    </row>
    <row r="10" spans="3:19" ht="26.25" customHeight="1" x14ac:dyDescent="0.25">
      <c r="C10" s="11"/>
      <c r="D10" s="7"/>
      <c r="E10" s="8"/>
      <c r="F10" s="7"/>
      <c r="K10" s="78"/>
      <c r="L10" s="44">
        <f>IF(DAY(DicDom1)=1,DicDom1-6,DicDom1+1)</f>
        <v>42702</v>
      </c>
      <c r="M10" s="44">
        <f>IF(DAY(DicDom1)=1,DicDom1-5,DicDom1+2)</f>
        <v>42703</v>
      </c>
      <c r="N10" s="44">
        <f>IF(DAY(DicDom1)=1,DicDom1-4,DicDom1+3)</f>
        <v>42704</v>
      </c>
      <c r="O10" s="44">
        <f>IF(DAY(DicDom1)=1,DicDom1-3,DicDom1+4)</f>
        <v>42705</v>
      </c>
      <c r="P10" s="44">
        <f>IF(DAY(DicDom1)=1,DicDom1-2,DicDom1+5)</f>
        <v>42706</v>
      </c>
      <c r="Q10" s="44">
        <f>IF(DAY(DicDom1)=1,DicDom1-1,DicDom1+6)</f>
        <v>42707</v>
      </c>
      <c r="R10" s="44">
        <f>IF(DAY(DicDom1)=1,DicDom1,DicDom1+7)</f>
        <v>42708</v>
      </c>
      <c r="S10" s="47"/>
    </row>
    <row r="11" spans="3:19" ht="45" x14ac:dyDescent="0.25">
      <c r="C11" s="12" t="s">
        <v>53</v>
      </c>
      <c r="D11" s="9" t="s">
        <v>52</v>
      </c>
      <c r="E11" s="9" t="s">
        <v>54</v>
      </c>
      <c r="F11" s="9" t="s">
        <v>55</v>
      </c>
      <c r="K11" s="78"/>
      <c r="L11" s="44">
        <f>IF(DAY(DicDom1)=1,DicDom1+1,DicDom1+8)</f>
        <v>42709</v>
      </c>
      <c r="M11" s="44">
        <f>IF(DAY(DicDom1)=1,DicDom1+2,DicDom1+9)</f>
        <v>42710</v>
      </c>
      <c r="N11" s="44">
        <f>IF(DAY(DicDom1)=1,DicDom1+3,DicDom1+10)</f>
        <v>42711</v>
      </c>
      <c r="O11" s="44">
        <f>IF(DAY(DicDom1)=1,DicDom1+4,DicDom1+11)</f>
        <v>42712</v>
      </c>
      <c r="P11" s="44">
        <f>IF(DAY(DicDom1)=1,DicDom1+5,DicDom1+12)</f>
        <v>42713</v>
      </c>
      <c r="Q11" s="44">
        <f>IF(DAY(DicDom1)=1,DicDom1+6,DicDom1+13)</f>
        <v>42714</v>
      </c>
      <c r="R11" s="44">
        <f>IF(DAY(DicDom1)=1,DicDom1+7,DicDom1+14)</f>
        <v>42715</v>
      </c>
      <c r="S11" s="47"/>
    </row>
    <row r="12" spans="3:19" x14ac:dyDescent="0.25">
      <c r="C12" s="13"/>
      <c r="D12" s="10"/>
      <c r="E12" s="10"/>
      <c r="F12" s="10"/>
      <c r="K12" s="78"/>
      <c r="L12" s="44">
        <f>IF(DAY(DicDom1)=1,DicDom1+8,DicDom1+15)</f>
        <v>42716</v>
      </c>
      <c r="M12" s="44">
        <f>IF(DAY(DicDom1)=1,DicDom1+9,DicDom1+16)</f>
        <v>42717</v>
      </c>
      <c r="N12" s="44">
        <f>IF(DAY(DicDom1)=1,DicDom1+10,DicDom1+17)</f>
        <v>42718</v>
      </c>
      <c r="O12" s="44">
        <f>IF(DAY(DicDom1)=1,DicDom1+11,DicDom1+18)</f>
        <v>42719</v>
      </c>
      <c r="P12" s="44">
        <f>IF(DAY(DicDom1)=1,DicDom1+12,DicDom1+19)</f>
        <v>42720</v>
      </c>
      <c r="Q12" s="44">
        <f>IF(DAY(DicDom1)=1,DicDom1+13,DicDom1+20)</f>
        <v>42721</v>
      </c>
      <c r="R12" s="44">
        <f>IF(DAY(DicDom1)=1,DicDom1+14,DicDom1+21)</f>
        <v>42722</v>
      </c>
      <c r="S12" s="47"/>
    </row>
    <row r="13" spans="3:19" x14ac:dyDescent="0.25">
      <c r="C13" s="12"/>
      <c r="D13" s="9"/>
      <c r="E13" s="9"/>
      <c r="F13" s="9"/>
      <c r="K13" s="78"/>
      <c r="L13" s="44">
        <f>IF(DAY(DicDom1)=1,DicDom1+15,DicDom1+22)</f>
        <v>42723</v>
      </c>
      <c r="M13" s="44">
        <f>IF(DAY(DicDom1)=1,DicDom1+16,DicDom1+23)</f>
        <v>42724</v>
      </c>
      <c r="N13" s="44">
        <f>IF(DAY(DicDom1)=1,DicDom1+17,DicDom1+24)</f>
        <v>42725</v>
      </c>
      <c r="O13" s="44">
        <f>IF(DAY(DicDom1)=1,DicDom1+18,DicDom1+25)</f>
        <v>42726</v>
      </c>
      <c r="P13" s="44">
        <f>IF(DAY(DicDom1)=1,DicDom1+19,DicDom1+26)</f>
        <v>42727</v>
      </c>
      <c r="Q13" s="44">
        <f>IF(DAY(DicDom1)=1,DicDom1+20,DicDom1+27)</f>
        <v>42728</v>
      </c>
      <c r="R13" s="44">
        <f>IF(DAY(DicDom1)=1,DicDom1+21,DicDom1+28)</f>
        <v>42729</v>
      </c>
      <c r="S13" s="47"/>
    </row>
    <row r="14" spans="3:19" x14ac:dyDescent="0.25">
      <c r="C14" s="13"/>
      <c r="D14" s="10"/>
      <c r="E14" s="10"/>
      <c r="F14" s="10"/>
      <c r="K14" s="78"/>
      <c r="L14" s="44">
        <f>IF(DAY(DicDom1)=1,DicDom1+22,DicDom1+29)</f>
        <v>42730</v>
      </c>
      <c r="M14" s="44">
        <f>IF(DAY(DicDom1)=1,DicDom1+23,DicDom1+30)</f>
        <v>42731</v>
      </c>
      <c r="N14" s="44">
        <f>IF(DAY(DicDom1)=1,DicDom1+24,DicDom1+31)</f>
        <v>42732</v>
      </c>
      <c r="O14" s="44">
        <f>IF(DAY(DicDom1)=1,DicDom1+25,DicDom1+32)</f>
        <v>42733</v>
      </c>
      <c r="P14" s="44">
        <f>IF(DAY(DicDom1)=1,DicDom1+26,DicDom1+33)</f>
        <v>42734</v>
      </c>
      <c r="Q14" s="44">
        <f>IF(DAY(DicDom1)=1,DicDom1+27,DicDom1+34)</f>
        <v>42735</v>
      </c>
      <c r="R14" s="44">
        <f>IF(DAY(DicDom1)=1,DicDom1+28,DicDom1+35)</f>
        <v>42736</v>
      </c>
      <c r="S14" s="47"/>
    </row>
    <row r="15" spans="3:19" x14ac:dyDescent="0.25">
      <c r="C15" s="12"/>
      <c r="D15" s="9"/>
      <c r="E15" s="9"/>
      <c r="F15" s="9"/>
      <c r="K15" s="78"/>
      <c r="L15" s="44">
        <f>IF(DAY(DicDom1)=1,DicDom1+29,DicDom1+36)</f>
        <v>42737</v>
      </c>
      <c r="M15" s="44">
        <f>IF(DAY(DicDom1)=1,DicDom1+30,DicDom1+37)</f>
        <v>42738</v>
      </c>
      <c r="N15" s="44">
        <f>IF(DAY(DicDom1)=1,DicDom1+31,DicDom1+38)</f>
        <v>42739</v>
      </c>
      <c r="O15" s="44">
        <f>IF(DAY(DicDom1)=1,DicDom1+32,DicDom1+39)</f>
        <v>42740</v>
      </c>
      <c r="P15" s="44">
        <f>IF(DAY(DicDom1)=1,DicDom1+33,DicDom1+40)</f>
        <v>42741</v>
      </c>
      <c r="Q15" s="44">
        <f>IF(DAY(DicDom1)=1,DicDom1+34,DicDom1+41)</f>
        <v>42742</v>
      </c>
      <c r="R15" s="44">
        <f>IF(DAY(DicDom1)=1,DicDom1+35,DicDom1+42)</f>
        <v>42743</v>
      </c>
      <c r="S15" s="47"/>
    </row>
    <row r="16" spans="3:19" x14ac:dyDescent="0.25">
      <c r="C16" s="13"/>
      <c r="D16" s="10"/>
      <c r="E16" s="10"/>
      <c r="F16" s="10"/>
      <c r="K16" s="78"/>
      <c r="L16" s="53"/>
      <c r="M16" s="53"/>
      <c r="N16" s="53"/>
      <c r="O16" s="53"/>
      <c r="P16" s="53"/>
      <c r="Q16" s="53"/>
      <c r="R16" s="53"/>
      <c r="S16" s="47"/>
    </row>
    <row r="17" spans="3:19" x14ac:dyDescent="0.25">
      <c r="C17" s="12"/>
      <c r="D17" s="9"/>
      <c r="E17" s="9"/>
      <c r="F17" s="9"/>
      <c r="K17" s="79"/>
      <c r="L17" s="51"/>
      <c r="M17" s="51"/>
      <c r="N17" s="51"/>
      <c r="O17" s="51"/>
      <c r="P17" s="51"/>
      <c r="Q17" s="51"/>
      <c r="R17" s="51"/>
      <c r="S17" s="52"/>
    </row>
    <row r="18" spans="3:19" x14ac:dyDescent="0.25">
      <c r="C18" s="13"/>
      <c r="D18" s="10"/>
      <c r="E18" s="10"/>
      <c r="F18" s="10"/>
    </row>
    <row r="19" spans="3:19" ht="15" customHeight="1" x14ac:dyDescent="0.25">
      <c r="C19" s="12"/>
      <c r="D19" s="9"/>
      <c r="E19" s="9"/>
      <c r="F19" s="9"/>
    </row>
    <row r="20" spans="3:19" x14ac:dyDescent="0.25">
      <c r="C20" s="13"/>
      <c r="D20" s="10"/>
      <c r="E20" s="10"/>
      <c r="F20" s="10"/>
    </row>
    <row r="21" spans="3:19" x14ac:dyDescent="0.25">
      <c r="C21" s="12"/>
      <c r="D21" s="9"/>
      <c r="E21" s="9"/>
      <c r="F21" s="9"/>
    </row>
    <row r="22" spans="3:19" x14ac:dyDescent="0.25">
      <c r="C22" s="13"/>
      <c r="D22" s="10"/>
      <c r="E22" s="10"/>
      <c r="F22" s="10"/>
    </row>
    <row r="23" spans="3:19" x14ac:dyDescent="0.25">
      <c r="C23" s="12"/>
      <c r="D23" s="9"/>
      <c r="E23" s="9"/>
      <c r="F23" s="9"/>
    </row>
    <row r="24" spans="3:19" x14ac:dyDescent="0.25">
      <c r="C24" s="13"/>
      <c r="D24" s="10"/>
      <c r="E24" s="10"/>
      <c r="F24" s="10"/>
    </row>
    <row r="25" spans="3:19" x14ac:dyDescent="0.25">
      <c r="C25" s="12"/>
      <c r="D25" s="9"/>
      <c r="E25" s="9"/>
      <c r="F25" s="9"/>
    </row>
    <row r="26" spans="3:19" x14ac:dyDescent="0.25">
      <c r="C26" s="13"/>
      <c r="D26" s="10"/>
      <c r="E26" s="10"/>
      <c r="F26" s="10"/>
    </row>
    <row r="27" spans="3:19" x14ac:dyDescent="0.25">
      <c r="C27" s="12"/>
      <c r="D27" s="9"/>
      <c r="E27" s="9"/>
      <c r="F27" s="9"/>
    </row>
  </sheetData>
  <mergeCells count="1">
    <mergeCell ref="K9:K17"/>
  </mergeCells>
  <conditionalFormatting sqref="L10:Q10">
    <cfRule type="expression" dxfId="2" priority="2" stopIfTrue="1">
      <formula>DAY(L10)&gt;8</formula>
    </cfRule>
  </conditionalFormatting>
  <conditionalFormatting sqref="L17:R17 L14:R15">
    <cfRule type="expression" dxfId="1" priority="1" stopIfTrue="1">
      <formula>AND(DAY(L14)&gt;=1,DAY(L14)&lt;=15)</formula>
    </cfRule>
  </conditionalFormatting>
  <conditionalFormatting sqref="L10:R15">
    <cfRule type="expression" dxfId="0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R27"/>
  <sheetViews>
    <sheetView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8" ht="15.75" customHeight="1" thickBot="1" x14ac:dyDescent="0.3"/>
    <row r="9" spans="3:18" ht="51.75" customHeight="1" thickBot="1" x14ac:dyDescent="0.3">
      <c r="C9" s="6" t="s">
        <v>7</v>
      </c>
      <c r="D9" s="6" t="s">
        <v>8</v>
      </c>
      <c r="E9" s="6" t="s">
        <v>9</v>
      </c>
      <c r="F9" s="6" t="s">
        <v>10</v>
      </c>
      <c r="K9" s="59" t="s">
        <v>12</v>
      </c>
      <c r="L9" s="2" t="s">
        <v>0</v>
      </c>
      <c r="M9" s="2" t="s">
        <v>1</v>
      </c>
      <c r="N9" s="2" t="s">
        <v>2</v>
      </c>
      <c r="O9" s="2" t="s">
        <v>3</v>
      </c>
      <c r="P9" s="2" t="s">
        <v>4</v>
      </c>
      <c r="Q9" s="2" t="s">
        <v>5</v>
      </c>
      <c r="R9" s="2" t="s">
        <v>6</v>
      </c>
    </row>
    <row r="10" spans="3:18" ht="28.5" customHeight="1" thickBot="1" x14ac:dyDescent="0.3">
      <c r="C10" s="11"/>
      <c r="D10" s="7"/>
      <c r="E10" s="8"/>
      <c r="F10" s="7"/>
      <c r="K10" s="60"/>
      <c r="L10" s="3">
        <v>1</v>
      </c>
      <c r="M10" s="3">
        <v>2</v>
      </c>
      <c r="N10" s="3">
        <v>3</v>
      </c>
      <c r="O10" s="3">
        <v>4</v>
      </c>
      <c r="P10" s="3">
        <v>5</v>
      </c>
      <c r="Q10" s="3">
        <v>6</v>
      </c>
      <c r="R10" s="3">
        <v>7</v>
      </c>
    </row>
    <row r="11" spans="3:18" ht="15.75" thickBot="1" x14ac:dyDescent="0.3">
      <c r="C11" s="12"/>
      <c r="D11" s="9"/>
      <c r="E11" s="9"/>
      <c r="F11" s="9"/>
      <c r="K11" s="60"/>
      <c r="L11" s="3">
        <v>8</v>
      </c>
      <c r="M11" s="3">
        <v>9</v>
      </c>
      <c r="N11" s="3">
        <v>10</v>
      </c>
      <c r="O11" s="3">
        <v>11</v>
      </c>
      <c r="P11" s="3">
        <v>12</v>
      </c>
      <c r="Q11" s="3">
        <v>13</v>
      </c>
      <c r="R11" s="3">
        <v>14</v>
      </c>
    </row>
    <row r="12" spans="3:18" ht="15.75" thickBot="1" x14ac:dyDescent="0.3">
      <c r="C12" s="13"/>
      <c r="D12" s="10"/>
      <c r="E12" s="10"/>
      <c r="F12" s="10"/>
      <c r="K12" s="60"/>
      <c r="L12" s="3">
        <v>15</v>
      </c>
      <c r="M12" s="3">
        <v>16</v>
      </c>
      <c r="N12" s="3">
        <v>17</v>
      </c>
      <c r="O12" s="3">
        <v>18</v>
      </c>
      <c r="P12" s="3">
        <v>15</v>
      </c>
      <c r="Q12" s="3">
        <v>16</v>
      </c>
      <c r="R12" s="3">
        <v>17</v>
      </c>
    </row>
    <row r="13" spans="3:18" ht="15.75" thickBot="1" x14ac:dyDescent="0.3">
      <c r="C13" s="12"/>
      <c r="D13" s="9"/>
      <c r="E13" s="9"/>
      <c r="F13" s="9"/>
      <c r="K13" s="60"/>
      <c r="L13" s="3">
        <v>18</v>
      </c>
      <c r="M13" s="3">
        <v>19</v>
      </c>
      <c r="N13" s="3">
        <v>20</v>
      </c>
      <c r="O13" s="3">
        <v>21</v>
      </c>
      <c r="P13" s="3">
        <v>22</v>
      </c>
      <c r="Q13" s="3">
        <v>23</v>
      </c>
      <c r="R13" s="3">
        <v>24</v>
      </c>
    </row>
    <row r="14" spans="3:18" ht="15.75" thickBot="1" x14ac:dyDescent="0.3">
      <c r="C14" s="13"/>
      <c r="D14" s="10"/>
      <c r="E14" s="10"/>
      <c r="F14" s="10"/>
      <c r="K14" s="60"/>
      <c r="L14" s="3">
        <v>25</v>
      </c>
      <c r="M14" s="3">
        <v>26</v>
      </c>
      <c r="N14" s="3">
        <v>27</v>
      </c>
      <c r="O14" s="3">
        <v>28</v>
      </c>
      <c r="P14" s="3">
        <v>29</v>
      </c>
      <c r="Q14" s="3">
        <v>1</v>
      </c>
      <c r="R14" s="3">
        <v>2</v>
      </c>
    </row>
    <row r="15" spans="3:18" ht="15.75" thickBot="1" x14ac:dyDescent="0.3">
      <c r="C15" s="12"/>
      <c r="D15" s="9"/>
      <c r="E15" s="9"/>
      <c r="F15" s="9"/>
      <c r="K15" s="60"/>
      <c r="L15" s="3"/>
      <c r="M15" s="3"/>
      <c r="N15" s="3"/>
      <c r="O15" s="3"/>
      <c r="P15" s="4"/>
      <c r="Q15" s="4"/>
      <c r="R15" s="4"/>
    </row>
    <row r="16" spans="3:18" ht="15.75" thickBot="1" x14ac:dyDescent="0.3">
      <c r="C16" s="13"/>
      <c r="D16" s="10"/>
      <c r="E16" s="10"/>
      <c r="F16" s="10"/>
      <c r="K16" s="61"/>
      <c r="L16" s="3"/>
      <c r="M16" s="3"/>
      <c r="N16" s="3"/>
      <c r="O16" s="3"/>
      <c r="P16" s="4"/>
      <c r="Q16" s="4"/>
      <c r="R16" s="4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</sheetData>
  <mergeCells count="1">
    <mergeCell ref="K9:K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6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62" t="s">
        <v>13</v>
      </c>
      <c r="L9" s="25" t="s">
        <v>0</v>
      </c>
      <c r="M9" s="25" t="s">
        <v>1</v>
      </c>
      <c r="N9" s="25" t="s">
        <v>2</v>
      </c>
      <c r="O9" s="25" t="s">
        <v>3</v>
      </c>
      <c r="P9" s="25" t="s">
        <v>4</v>
      </c>
      <c r="Q9" s="25" t="s">
        <v>5</v>
      </c>
      <c r="R9" s="25" t="s">
        <v>6</v>
      </c>
      <c r="S9" s="26"/>
    </row>
    <row r="10" spans="3:19" ht="28.5" customHeight="1" x14ac:dyDescent="0.25">
      <c r="C10" s="11"/>
      <c r="D10" s="7"/>
      <c r="E10" s="8" t="s">
        <v>27</v>
      </c>
      <c r="F10" s="7"/>
      <c r="K10" s="62"/>
      <c r="L10" s="17">
        <v>42429</v>
      </c>
      <c r="M10" s="18">
        <v>42430</v>
      </c>
      <c r="N10" s="18">
        <v>42431</v>
      </c>
      <c r="O10" s="18">
        <v>42432</v>
      </c>
      <c r="P10" s="18">
        <v>42433</v>
      </c>
      <c r="Q10" s="18">
        <v>42434</v>
      </c>
      <c r="R10" s="18">
        <v>42435</v>
      </c>
      <c r="S10" s="16"/>
    </row>
    <row r="11" spans="3:19" x14ac:dyDescent="0.25">
      <c r="C11" s="12"/>
      <c r="D11" s="9"/>
      <c r="E11" s="9"/>
      <c r="F11" s="9"/>
      <c r="K11" s="62"/>
      <c r="L11" s="18">
        <v>42436</v>
      </c>
      <c r="M11" s="18">
        <v>42437</v>
      </c>
      <c r="N11" s="18">
        <v>42438</v>
      </c>
      <c r="O11" s="18">
        <v>42439</v>
      </c>
      <c r="P11" s="18">
        <v>42440</v>
      </c>
      <c r="Q11" s="18">
        <v>42441</v>
      </c>
      <c r="R11" s="18">
        <v>42442</v>
      </c>
      <c r="S11" s="16"/>
    </row>
    <row r="12" spans="3:19" x14ac:dyDescent="0.25">
      <c r="C12" s="13"/>
      <c r="D12" s="10"/>
      <c r="E12" s="10"/>
      <c r="F12" s="10"/>
      <c r="K12" s="62"/>
      <c r="L12" s="18">
        <v>42443</v>
      </c>
      <c r="M12" s="18">
        <v>42444</v>
      </c>
      <c r="N12" s="18">
        <v>42445</v>
      </c>
      <c r="O12" s="18">
        <v>42446</v>
      </c>
      <c r="P12" s="18">
        <v>42447</v>
      </c>
      <c r="Q12" s="18">
        <v>42448</v>
      </c>
      <c r="R12" s="18">
        <v>42449</v>
      </c>
      <c r="S12" s="16"/>
    </row>
    <row r="13" spans="3:19" x14ac:dyDescent="0.25">
      <c r="C13" s="12"/>
      <c r="D13" s="9"/>
      <c r="E13" s="9"/>
      <c r="F13" s="9"/>
      <c r="K13" s="62"/>
      <c r="L13" s="18">
        <v>42450</v>
      </c>
      <c r="M13" s="18">
        <v>42451</v>
      </c>
      <c r="N13" s="18">
        <v>42452</v>
      </c>
      <c r="O13" s="18">
        <v>42453</v>
      </c>
      <c r="P13" s="18">
        <v>42454</v>
      </c>
      <c r="Q13" s="18">
        <v>42455</v>
      </c>
      <c r="R13" s="18">
        <v>42456</v>
      </c>
      <c r="S13" s="16"/>
    </row>
    <row r="14" spans="3:19" x14ac:dyDescent="0.25">
      <c r="C14" s="13"/>
      <c r="D14" s="10"/>
      <c r="E14" s="10"/>
      <c r="F14" s="10"/>
      <c r="K14" s="62"/>
      <c r="L14" s="18">
        <v>42457</v>
      </c>
      <c r="M14" s="18">
        <v>42458</v>
      </c>
      <c r="N14" s="18">
        <v>42459</v>
      </c>
      <c r="O14" s="18">
        <v>42460</v>
      </c>
      <c r="P14" s="17">
        <v>42461</v>
      </c>
      <c r="Q14" s="17">
        <v>42462</v>
      </c>
      <c r="R14" s="17">
        <v>42463</v>
      </c>
      <c r="S14" s="16"/>
    </row>
    <row r="15" spans="3:19" x14ac:dyDescent="0.25">
      <c r="C15" s="12"/>
      <c r="D15" s="9"/>
      <c r="E15" s="9"/>
      <c r="F15" s="9"/>
      <c r="K15" s="62"/>
      <c r="L15" s="17">
        <v>42464</v>
      </c>
      <c r="M15" s="17">
        <v>42465</v>
      </c>
      <c r="N15" s="17">
        <v>42466</v>
      </c>
      <c r="O15" s="17">
        <v>42467</v>
      </c>
      <c r="P15" s="17">
        <v>42468</v>
      </c>
      <c r="Q15" s="17">
        <v>42469</v>
      </c>
      <c r="R15" s="17">
        <v>42470</v>
      </c>
      <c r="S15" s="16"/>
    </row>
    <row r="16" spans="3:19" x14ac:dyDescent="0.25">
      <c r="C16" s="13"/>
      <c r="D16" s="10"/>
      <c r="E16" s="10"/>
      <c r="F16" s="10"/>
      <c r="K16" s="63"/>
      <c r="L16" s="19"/>
      <c r="M16" s="19"/>
      <c r="N16" s="19"/>
      <c r="O16" s="19"/>
      <c r="P16" s="19"/>
      <c r="Q16" s="19"/>
      <c r="R16" s="19"/>
      <c r="S16" s="16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31" priority="2" stopIfTrue="1">
      <formula>DAY(L10)&gt;8</formula>
    </cfRule>
  </conditionalFormatting>
  <conditionalFormatting sqref="L14:R16">
    <cfRule type="expression" dxfId="30" priority="1" stopIfTrue="1">
      <formula>AND(DAY(L14)&gt;=1,DAY(L14)&lt;=15)</formula>
    </cfRule>
  </conditionalFormatting>
  <conditionalFormatting sqref="L10:R15">
    <cfRule type="expression" dxfId="29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9.7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64" t="s">
        <v>14</v>
      </c>
      <c r="L9" s="25" t="s">
        <v>0</v>
      </c>
      <c r="M9" s="25" t="s">
        <v>1</v>
      </c>
      <c r="N9" s="25" t="s">
        <v>2</v>
      </c>
      <c r="O9" s="25" t="s">
        <v>3</v>
      </c>
      <c r="P9" s="25" t="s">
        <v>4</v>
      </c>
      <c r="Q9" s="25" t="s">
        <v>5</v>
      </c>
      <c r="R9" s="25" t="s">
        <v>6</v>
      </c>
      <c r="S9" s="20"/>
    </row>
    <row r="10" spans="3:19" ht="45" customHeight="1" x14ac:dyDescent="0.25">
      <c r="C10" s="11"/>
      <c r="D10" s="7"/>
      <c r="E10" s="8"/>
      <c r="F10" s="7"/>
      <c r="K10" s="64"/>
      <c r="L10" s="17">
        <v>42457</v>
      </c>
      <c r="M10" s="18">
        <v>42458</v>
      </c>
      <c r="N10" s="18">
        <v>42459</v>
      </c>
      <c r="O10" s="18">
        <v>42460</v>
      </c>
      <c r="P10" s="18">
        <v>42461</v>
      </c>
      <c r="Q10" s="17">
        <v>42462</v>
      </c>
      <c r="R10" s="18">
        <v>42463</v>
      </c>
      <c r="S10" s="16"/>
    </row>
    <row r="11" spans="3:19" x14ac:dyDescent="0.25">
      <c r="C11" s="12"/>
      <c r="D11" s="9"/>
      <c r="E11" s="9"/>
      <c r="F11" s="9"/>
      <c r="K11" s="64"/>
      <c r="L11" s="18">
        <v>42464</v>
      </c>
      <c r="M11" s="18">
        <v>42465</v>
      </c>
      <c r="N11" s="18">
        <v>42466</v>
      </c>
      <c r="O11" s="18">
        <v>42467</v>
      </c>
      <c r="P11" s="18">
        <v>42468</v>
      </c>
      <c r="Q11" s="18">
        <v>42469</v>
      </c>
      <c r="R11" s="18">
        <v>42470</v>
      </c>
      <c r="S11" s="16"/>
    </row>
    <row r="12" spans="3:19" x14ac:dyDescent="0.25">
      <c r="C12" s="13"/>
      <c r="D12" s="10"/>
      <c r="E12" s="10"/>
      <c r="F12" s="10"/>
      <c r="K12" s="64"/>
      <c r="L12" s="18">
        <v>42471</v>
      </c>
      <c r="M12" s="18">
        <v>42472</v>
      </c>
      <c r="N12" s="18">
        <v>42473</v>
      </c>
      <c r="O12" s="18">
        <v>42474</v>
      </c>
      <c r="P12" s="18">
        <v>42475</v>
      </c>
      <c r="Q12" s="18">
        <v>42476</v>
      </c>
      <c r="R12" s="18">
        <v>42477</v>
      </c>
      <c r="S12" s="16"/>
    </row>
    <row r="13" spans="3:19" x14ac:dyDescent="0.25">
      <c r="C13" s="12"/>
      <c r="D13" s="9"/>
      <c r="E13" s="9"/>
      <c r="F13" s="9"/>
      <c r="K13" s="64"/>
      <c r="L13" s="18">
        <v>42478</v>
      </c>
      <c r="M13" s="18">
        <v>42479</v>
      </c>
      <c r="N13" s="18">
        <v>42480</v>
      </c>
      <c r="O13" s="18">
        <v>42481</v>
      </c>
      <c r="P13" s="18">
        <v>42482</v>
      </c>
      <c r="Q13" s="18">
        <v>42483</v>
      </c>
      <c r="R13" s="18">
        <v>42484</v>
      </c>
      <c r="S13" s="16"/>
    </row>
    <row r="14" spans="3:19" x14ac:dyDescent="0.25">
      <c r="C14" s="13"/>
      <c r="D14" s="10"/>
      <c r="E14" s="10"/>
      <c r="F14" s="10"/>
      <c r="K14" s="64"/>
      <c r="L14" s="18">
        <v>42485</v>
      </c>
      <c r="M14" s="18">
        <v>42486</v>
      </c>
      <c r="N14" s="18">
        <v>42487</v>
      </c>
      <c r="O14" s="18">
        <v>42488</v>
      </c>
      <c r="P14" s="18">
        <v>42489</v>
      </c>
      <c r="Q14" s="18">
        <v>42490</v>
      </c>
      <c r="R14" s="18">
        <v>42491</v>
      </c>
      <c r="S14" s="16"/>
    </row>
    <row r="15" spans="3:19" x14ac:dyDescent="0.25">
      <c r="C15" s="12"/>
      <c r="D15" s="9"/>
      <c r="E15" s="9"/>
      <c r="F15" s="9"/>
      <c r="K15" s="64"/>
      <c r="L15" s="21">
        <v>42492</v>
      </c>
      <c r="M15" s="21">
        <v>42493</v>
      </c>
      <c r="N15" s="21">
        <v>42494</v>
      </c>
      <c r="O15" s="21">
        <v>42495</v>
      </c>
      <c r="P15" s="21">
        <v>42496</v>
      </c>
      <c r="Q15" s="21">
        <v>42497</v>
      </c>
      <c r="R15" s="21">
        <v>42498</v>
      </c>
      <c r="S15" s="16"/>
    </row>
    <row r="16" spans="3:19" x14ac:dyDescent="0.25">
      <c r="C16" s="13"/>
      <c r="D16" s="10"/>
      <c r="E16" s="10"/>
      <c r="F16" s="10"/>
      <c r="K16" s="65"/>
      <c r="L16" s="19"/>
      <c r="M16" s="19"/>
      <c r="N16" s="19"/>
      <c r="O16" s="19"/>
      <c r="P16" s="19"/>
      <c r="Q16" s="19"/>
      <c r="R16" s="19"/>
      <c r="S16" s="16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ht="15" customHeight="1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</sheetData>
  <mergeCells count="1">
    <mergeCell ref="K9:K16"/>
  </mergeCells>
  <conditionalFormatting sqref="L16:R16">
    <cfRule type="expression" dxfId="28" priority="10" stopIfTrue="1">
      <formula>AND(DAY(L16)&gt;=1,DAY(L16)&lt;=15)</formula>
    </cfRule>
  </conditionalFormatting>
  <conditionalFormatting sqref="L10:R10 L15:R15">
    <cfRule type="expression" dxfId="27" priority="2" stopIfTrue="1">
      <formula>DAY(L10)&gt;8</formula>
    </cfRule>
  </conditionalFormatting>
  <conditionalFormatting sqref="L14:R14">
    <cfRule type="expression" dxfId="26" priority="1" stopIfTrue="1">
      <formula>AND(DAY(L14)&gt;=1,DAY(L14)&lt;=15)</formula>
    </cfRule>
  </conditionalFormatting>
  <conditionalFormatting sqref="L10:R15">
    <cfRule type="expression" dxfId="25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2.2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64" t="s">
        <v>15</v>
      </c>
      <c r="L9" s="25" t="s">
        <v>0</v>
      </c>
      <c r="M9" s="25" t="s">
        <v>1</v>
      </c>
      <c r="N9" s="25" t="s">
        <v>2</v>
      </c>
      <c r="O9" s="25" t="s">
        <v>3</v>
      </c>
      <c r="P9" s="25" t="s">
        <v>4</v>
      </c>
      <c r="Q9" s="25" t="s">
        <v>5</v>
      </c>
      <c r="R9" s="25" t="s">
        <v>6</v>
      </c>
      <c r="S9" s="20"/>
    </row>
    <row r="10" spans="3:19" ht="45" customHeight="1" x14ac:dyDescent="0.25">
      <c r="C10" s="11" t="s">
        <v>23</v>
      </c>
      <c r="D10" s="7" t="s">
        <v>24</v>
      </c>
      <c r="E10" s="8" t="s">
        <v>25</v>
      </c>
      <c r="F10" s="7" t="s">
        <v>26</v>
      </c>
      <c r="K10" s="64"/>
      <c r="L10" s="17">
        <v>42457</v>
      </c>
      <c r="M10" s="18">
        <v>42458</v>
      </c>
      <c r="N10" s="18">
        <v>42459</v>
      </c>
      <c r="O10" s="18">
        <v>42460</v>
      </c>
      <c r="P10" s="18">
        <v>42491</v>
      </c>
      <c r="Q10" s="18">
        <v>42492</v>
      </c>
      <c r="R10" s="18">
        <v>42491</v>
      </c>
      <c r="S10" s="16"/>
    </row>
    <row r="11" spans="3:19" x14ac:dyDescent="0.25">
      <c r="C11" s="12"/>
      <c r="D11" s="9"/>
      <c r="E11" s="9"/>
      <c r="F11" s="9"/>
      <c r="K11" s="64"/>
      <c r="L11" s="18">
        <v>42492</v>
      </c>
      <c r="M11" s="18">
        <v>42493</v>
      </c>
      <c r="N11" s="18">
        <v>42494</v>
      </c>
      <c r="O11" s="18">
        <v>42495</v>
      </c>
      <c r="P11" s="18">
        <v>42496</v>
      </c>
      <c r="Q11" s="18">
        <v>42497</v>
      </c>
      <c r="R11" s="18">
        <v>42498</v>
      </c>
      <c r="S11" s="16"/>
    </row>
    <row r="12" spans="3:19" x14ac:dyDescent="0.25">
      <c r="C12" s="13"/>
      <c r="D12" s="10"/>
      <c r="E12" s="10"/>
      <c r="F12" s="10"/>
      <c r="K12" s="64"/>
      <c r="L12" s="18">
        <v>42499</v>
      </c>
      <c r="M12" s="18">
        <v>42500</v>
      </c>
      <c r="N12" s="18">
        <v>42501</v>
      </c>
      <c r="O12" s="18">
        <v>42502</v>
      </c>
      <c r="P12" s="18">
        <v>42503</v>
      </c>
      <c r="Q12" s="18">
        <v>42504</v>
      </c>
      <c r="R12" s="18">
        <v>42505</v>
      </c>
      <c r="S12" s="16"/>
    </row>
    <row r="13" spans="3:19" x14ac:dyDescent="0.25">
      <c r="C13" s="12"/>
      <c r="D13" s="9"/>
      <c r="E13" s="9"/>
      <c r="F13" s="9"/>
      <c r="K13" s="64"/>
      <c r="L13" s="18">
        <v>42506</v>
      </c>
      <c r="M13" s="18">
        <v>42507</v>
      </c>
      <c r="N13" s="18">
        <v>42508</v>
      </c>
      <c r="O13" s="18">
        <v>42509</v>
      </c>
      <c r="P13" s="18">
        <v>42510</v>
      </c>
      <c r="Q13" s="18">
        <v>42511</v>
      </c>
      <c r="R13" s="18">
        <v>42512</v>
      </c>
      <c r="S13" s="16"/>
    </row>
    <row r="14" spans="3:19" x14ac:dyDescent="0.25">
      <c r="C14" s="13"/>
      <c r="D14" s="10"/>
      <c r="E14" s="10"/>
      <c r="F14" s="10"/>
      <c r="K14" s="64"/>
      <c r="L14" s="18">
        <v>42513</v>
      </c>
      <c r="M14" s="18">
        <v>42514</v>
      </c>
      <c r="N14" s="18">
        <v>42515</v>
      </c>
      <c r="O14" s="18">
        <v>42516</v>
      </c>
      <c r="P14" s="18">
        <v>42517</v>
      </c>
      <c r="Q14" s="18">
        <v>42518</v>
      </c>
      <c r="R14" s="18">
        <v>42519</v>
      </c>
      <c r="S14" s="16"/>
    </row>
    <row r="15" spans="3:19" x14ac:dyDescent="0.25">
      <c r="C15" s="12"/>
      <c r="D15" s="9"/>
      <c r="E15" s="9"/>
      <c r="F15" s="9"/>
      <c r="K15" s="64"/>
      <c r="L15" s="21">
        <v>42551</v>
      </c>
      <c r="M15" s="21">
        <v>42582</v>
      </c>
      <c r="N15" s="21">
        <v>42552</v>
      </c>
      <c r="O15" s="21">
        <v>42553</v>
      </c>
      <c r="P15" s="21">
        <v>42554</v>
      </c>
      <c r="Q15" s="21">
        <v>42555</v>
      </c>
      <c r="R15" s="21">
        <v>42556</v>
      </c>
      <c r="S15" s="16"/>
    </row>
    <row r="16" spans="3:19" x14ac:dyDescent="0.25">
      <c r="C16" s="13"/>
      <c r="D16" s="10"/>
      <c r="E16" s="10"/>
      <c r="F16" s="10"/>
      <c r="K16" s="65"/>
      <c r="L16" s="19"/>
      <c r="M16" s="19"/>
      <c r="N16" s="19"/>
      <c r="O16" s="19"/>
      <c r="P16" s="19"/>
      <c r="Q16" s="19"/>
      <c r="R16" s="19"/>
      <c r="S16" s="16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ht="15" customHeight="1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</sheetData>
  <mergeCells count="1">
    <mergeCell ref="K9:K16"/>
  </mergeCells>
  <conditionalFormatting sqref="L16:R16">
    <cfRule type="expression" dxfId="24" priority="4" stopIfTrue="1">
      <formula>AND(DAY(L16)&gt;=1,DAY(L16)&lt;=15)</formula>
    </cfRule>
  </conditionalFormatting>
  <conditionalFormatting sqref="L10:R10 L15:R15">
    <cfRule type="expression" dxfId="23" priority="2" stopIfTrue="1">
      <formula>DAY(L10)&gt;8</formula>
    </cfRule>
  </conditionalFormatting>
  <conditionalFormatting sqref="L14:R14">
    <cfRule type="expression" dxfId="22" priority="1" stopIfTrue="1">
      <formula>AND(DAY(L14)&gt;=1,DAY(L14)&lt;=15)</formula>
    </cfRule>
  </conditionalFormatting>
  <conditionalFormatting sqref="L10:R15">
    <cfRule type="expression" dxfId="21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topLeftCell="A10" workbookViewId="0">
      <selection activeCell="F12" sqref="F12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9.7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66" t="s">
        <v>16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54"/>
    </row>
    <row r="10" spans="3:19" ht="45" customHeight="1" x14ac:dyDescent="0.25">
      <c r="C10" s="11" t="s">
        <v>28</v>
      </c>
      <c r="D10" s="7" t="s">
        <v>29</v>
      </c>
      <c r="E10" s="8" t="s">
        <v>30</v>
      </c>
      <c r="F10" s="7" t="s">
        <v>31</v>
      </c>
      <c r="K10" s="66"/>
      <c r="L10" s="28">
        <f>IF(DAY(JunDom1)=1,JunDom1-6,JunDom1+1)</f>
        <v>42520</v>
      </c>
      <c r="M10" s="28">
        <f>IF(DAY(JunDom1)=1,JunDom1-5,JunDom1+2)</f>
        <v>42521</v>
      </c>
      <c r="N10" s="31">
        <f>IF(DAY(JunDom1)=1,JunDom1-4,JunDom1+3)</f>
        <v>42522</v>
      </c>
      <c r="O10" s="31">
        <f>IF(DAY(JunDom1)=1,JunDom1-3,JunDom1+4)</f>
        <v>42523</v>
      </c>
      <c r="P10" s="31">
        <f>IF(DAY(JunDom1)=1,JunDom1-2,JunDom1+5)</f>
        <v>42524</v>
      </c>
      <c r="Q10" s="31">
        <f>IF(DAY(JunDom1)=1,JunDom1-1,JunDom1+6)</f>
        <v>42525</v>
      </c>
      <c r="R10" s="31">
        <f>IF(DAY(JunDom1)=1,JunDom1,JunDom1+7)</f>
        <v>42526</v>
      </c>
      <c r="S10" s="54"/>
    </row>
    <row r="11" spans="3:19" x14ac:dyDescent="0.25">
      <c r="C11" s="12"/>
      <c r="D11" s="9"/>
      <c r="E11" s="9"/>
      <c r="F11" s="9"/>
      <c r="K11" s="66"/>
      <c r="L11" s="31">
        <f>IF(DAY(JunDom1)=1,JunDom1+1,JunDom1+8)</f>
        <v>42527</v>
      </c>
      <c r="M11" s="31">
        <f>IF(DAY(JunDom1)=1,JunDom1+2,JunDom1+9)</f>
        <v>42528</v>
      </c>
      <c r="N11" s="31">
        <f>IF(DAY(JunDom1)=1,JunDom1+3,JunDom1+10)</f>
        <v>42529</v>
      </c>
      <c r="O11" s="31">
        <f>IF(DAY(JunDom1)=1,JunDom1+4,JunDom1+11)</f>
        <v>42530</v>
      </c>
      <c r="P11" s="31">
        <f>IF(DAY(JunDom1)=1,JunDom1+5,JunDom1+12)</f>
        <v>42531</v>
      </c>
      <c r="Q11" s="31">
        <f>IF(DAY(JunDom1)=1,JunDom1+6,JunDom1+13)</f>
        <v>42532</v>
      </c>
      <c r="R11" s="31">
        <f>IF(DAY(JunDom1)=1,JunDom1+7,JunDom1+14)</f>
        <v>42533</v>
      </c>
      <c r="S11" s="54"/>
    </row>
    <row r="12" spans="3:19" x14ac:dyDescent="0.25">
      <c r="C12" s="13"/>
      <c r="D12" s="10"/>
      <c r="E12" s="10"/>
      <c r="F12" s="10"/>
      <c r="K12" s="66"/>
      <c r="L12" s="31">
        <f>IF(DAY(JunDom1)=1,JunDom1+8,JunDom1+15)</f>
        <v>42534</v>
      </c>
      <c r="M12" s="31">
        <f>IF(DAY(JunDom1)=1,JunDom1+9,JunDom1+16)</f>
        <v>42535</v>
      </c>
      <c r="N12" s="31">
        <f>IF(DAY(JunDom1)=1,JunDom1+10,JunDom1+17)</f>
        <v>42536</v>
      </c>
      <c r="O12" s="31">
        <f>IF(DAY(JunDom1)=1,JunDom1+11,JunDom1+18)</f>
        <v>42537</v>
      </c>
      <c r="P12" s="31">
        <f>IF(DAY(JunDom1)=1,JunDom1+12,JunDom1+19)</f>
        <v>42538</v>
      </c>
      <c r="Q12" s="31">
        <f>IF(DAY(JunDom1)=1,JunDom1+13,JunDom1+20)</f>
        <v>42539</v>
      </c>
      <c r="R12" s="31">
        <f>IF(DAY(JunDom1)=1,JunDom1+14,JunDom1+21)</f>
        <v>42540</v>
      </c>
      <c r="S12" s="54"/>
    </row>
    <row r="13" spans="3:19" x14ac:dyDescent="0.25">
      <c r="C13" s="12"/>
      <c r="D13" s="9"/>
      <c r="E13" s="9"/>
      <c r="F13" s="9"/>
      <c r="K13" s="66"/>
      <c r="L13" s="31">
        <f>IF(DAY(JunDom1)=1,JunDom1+15,JunDom1+22)</f>
        <v>42541</v>
      </c>
      <c r="M13" s="31">
        <f>IF(DAY(JunDom1)=1,JunDom1+16,JunDom1+23)</f>
        <v>42542</v>
      </c>
      <c r="N13" s="31">
        <f>IF(DAY(JunDom1)=1,JunDom1+17,JunDom1+24)</f>
        <v>42543</v>
      </c>
      <c r="O13" s="31">
        <f>IF(DAY(JunDom1)=1,JunDom1+18,JunDom1+25)</f>
        <v>42544</v>
      </c>
      <c r="P13" s="31">
        <f>IF(DAY(JunDom1)=1,JunDom1+19,JunDom1+26)</f>
        <v>42545</v>
      </c>
      <c r="Q13" s="31">
        <f>IF(DAY(JunDom1)=1,JunDom1+20,JunDom1+27)</f>
        <v>42546</v>
      </c>
      <c r="R13" s="31">
        <f>IF(DAY(JunDom1)=1,JunDom1+21,JunDom1+28)</f>
        <v>42547</v>
      </c>
      <c r="S13" s="54"/>
    </row>
    <row r="14" spans="3:19" ht="45" x14ac:dyDescent="0.25">
      <c r="C14" s="13" t="s">
        <v>41</v>
      </c>
      <c r="D14" s="10" t="s">
        <v>34</v>
      </c>
      <c r="E14" s="10" t="s">
        <v>35</v>
      </c>
      <c r="F14" s="10" t="s">
        <v>36</v>
      </c>
      <c r="K14" s="66"/>
      <c r="L14" s="31">
        <f>IF(DAY(JunDom1)=1,JunDom1+22,JunDom1+29)</f>
        <v>42548</v>
      </c>
      <c r="M14" s="31">
        <f>IF(DAY(JunDom1)=1,JunDom1+23,JunDom1+30)</f>
        <v>42549</v>
      </c>
      <c r="N14" s="31">
        <f>IF(DAY(JunDom1)=1,JunDom1+24,JunDom1+31)</f>
        <v>42550</v>
      </c>
      <c r="O14" s="31">
        <f>IF(DAY(JunDom1)=1,JunDom1+25,JunDom1+32)</f>
        <v>42551</v>
      </c>
      <c r="P14" s="31">
        <f>IF(DAY(JunDom1)=1,JunDom1+26,JunDom1+33)</f>
        <v>42552</v>
      </c>
      <c r="Q14" s="31">
        <f>IF(DAY(JunDom1)=1,JunDom1+27,JunDom1+34)</f>
        <v>42553</v>
      </c>
      <c r="R14" s="31">
        <f>IF(DAY(JunDom1)=1,JunDom1+28,JunDom1+35)</f>
        <v>42554</v>
      </c>
      <c r="S14" s="54"/>
    </row>
    <row r="15" spans="3:19" x14ac:dyDescent="0.25">
      <c r="C15" s="12"/>
      <c r="D15" s="9"/>
      <c r="E15" s="9"/>
      <c r="F15" s="9"/>
      <c r="K15" s="66"/>
      <c r="L15" s="31">
        <f>IF(DAY(JunDom1)=1,JunDom1+29,JunDom1+36)</f>
        <v>42555</v>
      </c>
      <c r="M15" s="31">
        <f>IF(DAY(JunDom1)=1,JunDom1+30,JunDom1+37)</f>
        <v>42556</v>
      </c>
      <c r="N15" s="31">
        <f>IF(DAY(JunDom1)=1,JunDom1+31,JunDom1+38)</f>
        <v>42557</v>
      </c>
      <c r="O15" s="31">
        <f>IF(DAY(JunDom1)=1,JunDom1+32,JunDom1+39)</f>
        <v>42558</v>
      </c>
      <c r="P15" s="31">
        <f>IF(DAY(JunDom1)=1,JunDom1+33,JunDom1+40)</f>
        <v>42559</v>
      </c>
      <c r="Q15" s="31">
        <f>IF(DAY(JunDom1)=1,JunDom1+34,JunDom1+41)</f>
        <v>42560</v>
      </c>
      <c r="R15" s="31">
        <f>IF(DAY(JunDom1)=1,JunDom1+35,JunDom1+42)</f>
        <v>42561</v>
      </c>
      <c r="S15" s="54"/>
    </row>
    <row r="16" spans="3:19" x14ac:dyDescent="0.25">
      <c r="C16" s="13"/>
      <c r="D16" s="10"/>
      <c r="E16" s="10"/>
      <c r="F16" s="10"/>
      <c r="K16" s="66"/>
      <c r="L16" s="55"/>
      <c r="M16" s="55"/>
      <c r="N16" s="55"/>
      <c r="O16" s="55"/>
      <c r="P16" s="55"/>
      <c r="Q16" s="55"/>
      <c r="R16" s="55"/>
      <c r="S16" s="54"/>
    </row>
    <row r="17" spans="3:19" x14ac:dyDescent="0.25">
      <c r="C17" s="12"/>
      <c r="D17" s="9"/>
      <c r="E17" s="9"/>
      <c r="F17" s="9"/>
    </row>
    <row r="18" spans="3:19" x14ac:dyDescent="0.25">
      <c r="C18" s="13"/>
      <c r="D18" s="10"/>
      <c r="E18" s="10"/>
      <c r="F18" s="10"/>
      <c r="K18" s="22"/>
      <c r="S18" s="23"/>
    </row>
    <row r="19" spans="3:19" ht="15" customHeight="1" x14ac:dyDescent="0.25">
      <c r="C19" s="12"/>
      <c r="D19" s="9"/>
      <c r="E19" s="9"/>
      <c r="F19" s="9"/>
    </row>
    <row r="20" spans="3:19" x14ac:dyDescent="0.25">
      <c r="C20" s="13"/>
      <c r="D20" s="10"/>
      <c r="E20" s="10"/>
      <c r="F20" s="10"/>
    </row>
    <row r="21" spans="3:19" x14ac:dyDescent="0.25">
      <c r="C21" s="12"/>
      <c r="D21" s="9"/>
      <c r="E21" s="9"/>
      <c r="F21" s="9"/>
    </row>
    <row r="22" spans="3:19" x14ac:dyDescent="0.25">
      <c r="C22" s="13"/>
      <c r="D22" s="10"/>
      <c r="E22" s="10"/>
      <c r="F22" s="10"/>
    </row>
    <row r="23" spans="3:19" x14ac:dyDescent="0.25">
      <c r="C23" s="12"/>
      <c r="D23" s="9"/>
      <c r="E23" s="9"/>
      <c r="F23" s="9"/>
    </row>
    <row r="24" spans="3:19" x14ac:dyDescent="0.25">
      <c r="C24" s="13"/>
      <c r="D24" s="10"/>
      <c r="E24" s="10"/>
      <c r="F24" s="10"/>
    </row>
    <row r="25" spans="3:19" x14ac:dyDescent="0.25">
      <c r="C25" s="12"/>
      <c r="D25" s="9"/>
      <c r="E25" s="9"/>
      <c r="F25" s="9"/>
    </row>
    <row r="26" spans="3:19" x14ac:dyDescent="0.25">
      <c r="C26" s="13"/>
      <c r="D26" s="10"/>
      <c r="E26" s="10"/>
      <c r="F26" s="10"/>
    </row>
    <row r="27" spans="3:19" x14ac:dyDescent="0.25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20" priority="2" stopIfTrue="1">
      <formula>DAY(L10)&gt;8</formula>
    </cfRule>
  </conditionalFormatting>
  <conditionalFormatting sqref="L14:R16">
    <cfRule type="expression" dxfId="19" priority="1" stopIfTrue="1">
      <formula>AND(DAY(L14)&gt;=1,DAY(L14)&lt;=15)</formula>
    </cfRule>
  </conditionalFormatting>
  <conditionalFormatting sqref="L10:R15">
    <cfRule type="expression" dxfId="18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topLeftCell="A10" workbookViewId="0">
      <selection activeCell="F12" sqref="F12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40.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67" t="s">
        <v>17</v>
      </c>
      <c r="L9" s="27" t="s">
        <v>0</v>
      </c>
      <c r="M9" s="27" t="s">
        <v>1</v>
      </c>
      <c r="N9" s="27" t="s">
        <v>2</v>
      </c>
      <c r="O9" s="27" t="s">
        <v>3</v>
      </c>
      <c r="P9" s="27" t="s">
        <v>4</v>
      </c>
      <c r="Q9" s="27" t="s">
        <v>5</v>
      </c>
      <c r="R9" s="27" t="s">
        <v>6</v>
      </c>
      <c r="S9" s="24"/>
    </row>
    <row r="10" spans="3:19" ht="45" customHeight="1" x14ac:dyDescent="0.25">
      <c r="C10" s="11" t="s">
        <v>37</v>
      </c>
      <c r="D10" s="7" t="s">
        <v>38</v>
      </c>
      <c r="E10" s="8" t="s">
        <v>32</v>
      </c>
      <c r="F10" s="7" t="s">
        <v>39</v>
      </c>
      <c r="K10" s="68"/>
      <c r="L10" s="32">
        <f>IF(DAY(JulDom1)=1,JulDom1-6,JulDom1+1)</f>
        <v>42548</v>
      </c>
      <c r="M10" s="32">
        <f>IF(DAY(JulDom1)=1,JulDom1-5,JulDom1+2)</f>
        <v>42549</v>
      </c>
      <c r="N10" s="32">
        <f>IF(DAY(JulDom1)=1,JulDom1-4,JulDom1+3)</f>
        <v>42550</v>
      </c>
      <c r="O10" s="32">
        <f>IF(DAY(JulDom1)=1,JulDom1-3,JulDom1+4)</f>
        <v>42551</v>
      </c>
      <c r="P10" s="28">
        <f>IF(DAY(JulDom1)=1,JulDom1-2,JulDom1+5)</f>
        <v>42552</v>
      </c>
      <c r="Q10" s="28">
        <f>IF(DAY(JulDom1)=1,JulDom1-1,JulDom1+6)</f>
        <v>42553</v>
      </c>
      <c r="R10" s="28">
        <f>IF(DAY(JulDom1)=1,JulDom1,JulDom1+7)</f>
        <v>42554</v>
      </c>
      <c r="S10" s="29"/>
    </row>
    <row r="11" spans="3:19" x14ac:dyDescent="0.25">
      <c r="C11" s="12"/>
      <c r="D11" s="9"/>
      <c r="E11" s="9"/>
      <c r="F11" s="9"/>
      <c r="K11" s="68"/>
      <c r="L11" s="28">
        <f>IF(DAY(JulDom1)=1,JulDom1+1,JulDom1+8)</f>
        <v>42555</v>
      </c>
      <c r="M11" s="28">
        <f>IF(DAY(JulDom1)=1,JulDom1+2,JulDom1+9)</f>
        <v>42556</v>
      </c>
      <c r="N11" s="28">
        <f>IF(DAY(JulDom1)=1,JulDom1+3,JulDom1+10)</f>
        <v>42557</v>
      </c>
      <c r="O11" s="28">
        <f>IF(DAY(JulDom1)=1,JulDom1+4,JulDom1+11)</f>
        <v>42558</v>
      </c>
      <c r="P11" s="28">
        <f>IF(DAY(JulDom1)=1,JulDom1+5,JulDom1+12)</f>
        <v>42559</v>
      </c>
      <c r="Q11" s="28">
        <f>IF(DAY(JulDom1)=1,JulDom1+6,JulDom1+13)</f>
        <v>42560</v>
      </c>
      <c r="R11" s="28">
        <f>IF(DAY(JulDom1)=1,JulDom1+7,JulDom1+14)</f>
        <v>42561</v>
      </c>
      <c r="S11" s="29"/>
    </row>
    <row r="12" spans="3:19" ht="30" x14ac:dyDescent="0.25">
      <c r="C12" s="13" t="s">
        <v>33</v>
      </c>
      <c r="D12" s="10" t="s">
        <v>40</v>
      </c>
      <c r="E12" s="57">
        <v>0.45833333333333331</v>
      </c>
      <c r="F12" s="10" t="s">
        <v>31</v>
      </c>
      <c r="K12" s="68"/>
      <c r="L12" s="28">
        <f>IF(DAY(JulDom1)=1,JulDom1+8,JulDom1+15)</f>
        <v>42562</v>
      </c>
      <c r="M12" s="28">
        <f>IF(DAY(JulDom1)=1,JulDom1+9,JulDom1+16)</f>
        <v>42563</v>
      </c>
      <c r="N12" s="28">
        <f>IF(DAY(JulDom1)=1,JulDom1+10,JulDom1+17)</f>
        <v>42564</v>
      </c>
      <c r="O12" s="28">
        <f>IF(DAY(JulDom1)=1,JulDom1+11,JulDom1+18)</f>
        <v>42565</v>
      </c>
      <c r="P12" s="28">
        <f>IF(DAY(JulDom1)=1,JulDom1+12,JulDom1+19)</f>
        <v>42566</v>
      </c>
      <c r="Q12" s="28">
        <f>IF(DAY(JulDom1)=1,JulDom1+13,JulDom1+20)</f>
        <v>42567</v>
      </c>
      <c r="R12" s="28">
        <f>IF(DAY(JulDom1)=1,JulDom1+14,JulDom1+21)</f>
        <v>42568</v>
      </c>
      <c r="S12" s="29"/>
    </row>
    <row r="13" spans="3:19" x14ac:dyDescent="0.25">
      <c r="C13" s="12"/>
      <c r="D13" s="9"/>
      <c r="E13" s="9"/>
      <c r="F13" s="9"/>
      <c r="K13" s="68"/>
      <c r="L13" s="28">
        <f>IF(DAY(JulDom1)=1,JulDom1+15,JulDom1+22)</f>
        <v>42569</v>
      </c>
      <c r="M13" s="28">
        <f>IF(DAY(JulDom1)=1,JulDom1+16,JulDom1+23)</f>
        <v>42570</v>
      </c>
      <c r="N13" s="28">
        <f>IF(DAY(JulDom1)=1,JulDom1+17,JulDom1+24)</f>
        <v>42571</v>
      </c>
      <c r="O13" s="28">
        <f>IF(DAY(JulDom1)=1,JulDom1+18,JulDom1+25)</f>
        <v>42572</v>
      </c>
      <c r="P13" s="28">
        <f>IF(DAY(JulDom1)=1,JulDom1+19,JulDom1+26)</f>
        <v>42573</v>
      </c>
      <c r="Q13" s="28">
        <f>IF(DAY(JulDom1)=1,JulDom1+20,JulDom1+27)</f>
        <v>42574</v>
      </c>
      <c r="R13" s="28">
        <f>IF(DAY(JulDom1)=1,JulDom1+21,JulDom1+28)</f>
        <v>42575</v>
      </c>
      <c r="S13" s="29"/>
    </row>
    <row r="14" spans="3:19" x14ac:dyDescent="0.25">
      <c r="C14" s="13"/>
      <c r="D14" s="10"/>
      <c r="E14" s="10"/>
      <c r="F14" s="10"/>
      <c r="K14" s="68"/>
      <c r="L14" s="28">
        <f>IF(DAY(JulDom1)=1,JulDom1+22,JulDom1+29)</f>
        <v>42576</v>
      </c>
      <c r="M14" s="28">
        <f>IF(DAY(JulDom1)=1,JulDom1+23,JulDom1+30)</f>
        <v>42577</v>
      </c>
      <c r="N14" s="28">
        <f>IF(DAY(JulDom1)=1,JulDom1+24,JulDom1+31)</f>
        <v>42578</v>
      </c>
      <c r="O14" s="28">
        <f>IF(DAY(JulDom1)=1,JulDom1+25,JulDom1+32)</f>
        <v>42579</v>
      </c>
      <c r="P14" s="28">
        <f>IF(DAY(JulDom1)=1,JulDom1+26,JulDom1+33)</f>
        <v>42580</v>
      </c>
      <c r="Q14" s="28">
        <f>IF(DAY(JulDom1)=1,JulDom1+27,JulDom1+34)</f>
        <v>42581</v>
      </c>
      <c r="R14" s="28">
        <f>IF(DAY(JulDom1)=1,JulDom1+28,JulDom1+35)</f>
        <v>42582</v>
      </c>
      <c r="S14" s="29"/>
    </row>
    <row r="15" spans="3:19" x14ac:dyDescent="0.25">
      <c r="C15" s="12"/>
      <c r="D15" s="9"/>
      <c r="E15" s="9"/>
      <c r="F15" s="9"/>
      <c r="K15" s="68"/>
      <c r="L15" s="31">
        <f>IF(DAY(JulDom1)=1,JulDom1+29,JulDom1+36)</f>
        <v>42583</v>
      </c>
      <c r="M15" s="31">
        <f>IF(DAY(JulDom1)=1,JulDom1+30,JulDom1+37)</f>
        <v>42584</v>
      </c>
      <c r="N15" s="31">
        <f>IF(DAY(JulDom1)=1,JulDom1+31,JulDom1+38)</f>
        <v>42585</v>
      </c>
      <c r="O15" s="31">
        <f>IF(DAY(JulDom1)=1,JulDom1+32,JulDom1+39)</f>
        <v>42586</v>
      </c>
      <c r="P15" s="31">
        <f>IF(DAY(JulDom1)=1,JulDom1+33,JulDom1+40)</f>
        <v>42587</v>
      </c>
      <c r="Q15" s="31">
        <f>IF(DAY(JulDom1)=1,JulDom1+34,JulDom1+41)</f>
        <v>42588</v>
      </c>
      <c r="R15" s="31">
        <f>IF(DAY(JulDom1)=1,JulDom1+35,JulDom1+42)</f>
        <v>42589</v>
      </c>
      <c r="S15" s="29"/>
    </row>
    <row r="16" spans="3:19" x14ac:dyDescent="0.25">
      <c r="C16" s="13"/>
      <c r="D16" s="10"/>
      <c r="E16" s="10"/>
      <c r="F16" s="10"/>
      <c r="K16" s="68"/>
      <c r="L16" s="56"/>
      <c r="M16" s="56"/>
      <c r="N16" s="56"/>
      <c r="O16" s="56"/>
      <c r="P16" s="56"/>
      <c r="Q16" s="56"/>
      <c r="R16" s="56"/>
      <c r="S16" s="29"/>
    </row>
    <row r="17" spans="3:19" x14ac:dyDescent="0.25">
      <c r="C17" s="12"/>
      <c r="D17" s="9"/>
      <c r="E17" s="9"/>
      <c r="F17" s="9"/>
      <c r="K17" s="69"/>
      <c r="L17" s="30"/>
      <c r="M17" s="30"/>
      <c r="N17" s="30"/>
      <c r="O17" s="30"/>
      <c r="P17" s="30"/>
      <c r="Q17" s="30"/>
      <c r="R17" s="30"/>
      <c r="S17" s="29"/>
    </row>
    <row r="18" spans="3:19" x14ac:dyDescent="0.25">
      <c r="C18" s="13"/>
      <c r="D18" s="10"/>
      <c r="E18" s="10"/>
      <c r="F18" s="10"/>
    </row>
    <row r="19" spans="3:19" ht="15" customHeight="1" x14ac:dyDescent="0.25">
      <c r="C19" s="12"/>
      <c r="D19" s="9"/>
      <c r="E19" s="9"/>
      <c r="F19" s="9"/>
    </row>
    <row r="20" spans="3:19" x14ac:dyDescent="0.25">
      <c r="C20" s="13"/>
      <c r="D20" s="10"/>
      <c r="E20" s="10"/>
      <c r="F20" s="10"/>
    </row>
    <row r="21" spans="3:19" x14ac:dyDescent="0.25">
      <c r="C21" s="12"/>
      <c r="D21" s="9"/>
      <c r="E21" s="9"/>
      <c r="F21" s="9"/>
    </row>
    <row r="22" spans="3:19" x14ac:dyDescent="0.25">
      <c r="C22" s="13"/>
      <c r="D22" s="10"/>
      <c r="E22" s="10"/>
      <c r="F22" s="10"/>
    </row>
    <row r="23" spans="3:19" x14ac:dyDescent="0.25">
      <c r="C23" s="12"/>
      <c r="D23" s="9"/>
      <c r="E23" s="9"/>
      <c r="F23" s="9"/>
    </row>
    <row r="24" spans="3:19" x14ac:dyDescent="0.25">
      <c r="C24" s="13"/>
      <c r="D24" s="10"/>
      <c r="E24" s="10"/>
      <c r="F24" s="10"/>
    </row>
    <row r="25" spans="3:19" x14ac:dyDescent="0.25">
      <c r="C25" s="12"/>
      <c r="D25" s="9"/>
      <c r="E25" s="9"/>
      <c r="F25" s="9"/>
    </row>
    <row r="26" spans="3:19" x14ac:dyDescent="0.25">
      <c r="C26" s="13"/>
      <c r="D26" s="10"/>
      <c r="E26" s="10"/>
      <c r="F26" s="10"/>
    </row>
    <row r="27" spans="3:19" x14ac:dyDescent="0.25">
      <c r="C27" s="12"/>
      <c r="D27" s="9"/>
      <c r="E27" s="9"/>
      <c r="F27" s="9"/>
    </row>
  </sheetData>
  <mergeCells count="1">
    <mergeCell ref="K9:K17"/>
  </mergeCells>
  <conditionalFormatting sqref="L10:Q10">
    <cfRule type="expression" dxfId="17" priority="2" stopIfTrue="1">
      <formula>DAY(L10)&gt;8</formula>
    </cfRule>
  </conditionalFormatting>
  <conditionalFormatting sqref="L17:R17 L14:R15">
    <cfRule type="expression" dxfId="16" priority="1" stopIfTrue="1">
      <formula>AND(DAY(L14)&gt;=1,DAY(L14)&lt;=15)</formula>
    </cfRule>
  </conditionalFormatting>
  <conditionalFormatting sqref="L10:R15">
    <cfRule type="expression" dxfId="15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topLeftCell="A7" workbookViewId="0">
      <selection activeCell="D10" sqref="D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0.7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70" t="s">
        <v>18</v>
      </c>
      <c r="L9" s="42" t="s">
        <v>0</v>
      </c>
      <c r="M9" s="42" t="s">
        <v>1</v>
      </c>
      <c r="N9" s="42" t="s">
        <v>2</v>
      </c>
      <c r="O9" s="42" t="s">
        <v>3</v>
      </c>
      <c r="P9" s="42" t="s">
        <v>4</v>
      </c>
      <c r="Q9" s="42" t="s">
        <v>5</v>
      </c>
      <c r="R9" s="42" t="s">
        <v>6</v>
      </c>
      <c r="S9" s="39"/>
    </row>
    <row r="10" spans="3:19" ht="45" customHeight="1" x14ac:dyDescent="0.25">
      <c r="C10" s="11"/>
      <c r="D10" s="7" t="s">
        <v>42</v>
      </c>
      <c r="E10" s="8"/>
      <c r="F10" s="7"/>
      <c r="K10" s="71"/>
      <c r="L10" s="40">
        <f>IF(DAY(AgoDom1)=1,AgoDom1-6,AgoDom1+1)</f>
        <v>42583</v>
      </c>
      <c r="M10" s="40">
        <f>IF(DAY(AgoDom1)=1,AgoDom1-5,AgoDom1+2)</f>
        <v>42584</v>
      </c>
      <c r="N10" s="40">
        <f>IF(DAY(AgoDom1)=1,AgoDom1-4,AgoDom1+3)</f>
        <v>42585</v>
      </c>
      <c r="O10" s="40">
        <f>IF(DAY(AgoDom1)=1,AgoDom1-3,AgoDom1+4)</f>
        <v>42586</v>
      </c>
      <c r="P10" s="40">
        <f>IF(DAY(AgoDom1)=1,AgoDom1-2,AgoDom1+5)</f>
        <v>42587</v>
      </c>
      <c r="Q10" s="40">
        <f>IF(DAY(AgoDom1)=1,AgoDom1-1,AgoDom1+6)</f>
        <v>42588</v>
      </c>
      <c r="R10" s="40">
        <f>IF(DAY(AgoDom1)=1,AgoDom1,AgoDom1+7)</f>
        <v>42589</v>
      </c>
      <c r="S10" s="41"/>
    </row>
    <row r="11" spans="3:19" x14ac:dyDescent="0.25">
      <c r="C11" s="12"/>
      <c r="D11" s="9"/>
      <c r="E11" s="9"/>
      <c r="F11" s="9"/>
      <c r="K11" s="71"/>
      <c r="L11" s="40">
        <f>IF(DAY(AgoDom1)=1,AgoDom1+1,AgoDom1+8)</f>
        <v>42590</v>
      </c>
      <c r="M11" s="40">
        <f>IF(DAY(AgoDom1)=1,AgoDom1+2,AgoDom1+9)</f>
        <v>42591</v>
      </c>
      <c r="N11" s="40">
        <f>IF(DAY(AgoDom1)=1,AgoDom1+3,AgoDom1+10)</f>
        <v>42592</v>
      </c>
      <c r="O11" s="40">
        <f>IF(DAY(AgoDom1)=1,AgoDom1+4,AgoDom1+11)</f>
        <v>42593</v>
      </c>
      <c r="P11" s="40">
        <f>IF(DAY(AgoDom1)=1,AgoDom1+5,AgoDom1+12)</f>
        <v>42594</v>
      </c>
      <c r="Q11" s="40">
        <f>IF(DAY(AgoDom1)=1,AgoDom1+6,AgoDom1+13)</f>
        <v>42595</v>
      </c>
      <c r="R11" s="40">
        <f>IF(DAY(AgoDom1)=1,AgoDom1+7,AgoDom1+14)</f>
        <v>42596</v>
      </c>
      <c r="S11" s="41"/>
    </row>
    <row r="12" spans="3:19" x14ac:dyDescent="0.25">
      <c r="C12" s="13"/>
      <c r="D12" s="10"/>
      <c r="E12" s="10"/>
      <c r="F12" s="10"/>
      <c r="K12" s="71"/>
      <c r="L12" s="40">
        <f>IF(DAY(AgoDom1)=1,AgoDom1+8,AgoDom1+15)</f>
        <v>42597</v>
      </c>
      <c r="M12" s="40">
        <f>IF(DAY(AgoDom1)=1,AgoDom1+9,AgoDom1+16)</f>
        <v>42598</v>
      </c>
      <c r="N12" s="40">
        <f>IF(DAY(AgoDom1)=1,AgoDom1+10,AgoDom1+17)</f>
        <v>42599</v>
      </c>
      <c r="O12" s="40">
        <f>IF(DAY(AgoDom1)=1,AgoDom1+11,AgoDom1+18)</f>
        <v>42600</v>
      </c>
      <c r="P12" s="40">
        <f>IF(DAY(AgoDom1)=1,AgoDom1+12,AgoDom1+19)</f>
        <v>42601</v>
      </c>
      <c r="Q12" s="40">
        <f>IF(DAY(AgoDom1)=1,AgoDom1+13,AgoDom1+20)</f>
        <v>42602</v>
      </c>
      <c r="R12" s="40">
        <f>IF(DAY(AgoDom1)=1,AgoDom1+14,AgoDom1+21)</f>
        <v>42603</v>
      </c>
      <c r="S12" s="41"/>
    </row>
    <row r="13" spans="3:19" x14ac:dyDescent="0.25">
      <c r="C13" s="12"/>
      <c r="D13" s="9"/>
      <c r="E13" s="9"/>
      <c r="F13" s="9"/>
      <c r="K13" s="71"/>
      <c r="L13" s="40">
        <f>IF(DAY(AgoDom1)=1,AgoDom1+15,AgoDom1+22)</f>
        <v>42604</v>
      </c>
      <c r="M13" s="40">
        <f>IF(DAY(AgoDom1)=1,AgoDom1+16,AgoDom1+23)</f>
        <v>42605</v>
      </c>
      <c r="N13" s="40">
        <f>IF(DAY(AgoDom1)=1,AgoDom1+17,AgoDom1+24)</f>
        <v>42606</v>
      </c>
      <c r="O13" s="40">
        <f>IF(DAY(AgoDom1)=1,AgoDom1+18,AgoDom1+25)</f>
        <v>42607</v>
      </c>
      <c r="P13" s="40">
        <f>IF(DAY(AgoDom1)=1,AgoDom1+19,AgoDom1+26)</f>
        <v>42608</v>
      </c>
      <c r="Q13" s="40">
        <f>IF(DAY(AgoDom1)=1,AgoDom1+20,AgoDom1+27)</f>
        <v>42609</v>
      </c>
      <c r="R13" s="40">
        <f>IF(DAY(AgoDom1)=1,AgoDom1+21,AgoDom1+28)</f>
        <v>42610</v>
      </c>
      <c r="S13" s="41"/>
    </row>
    <row r="14" spans="3:19" x14ac:dyDescent="0.25">
      <c r="C14" s="13"/>
      <c r="D14" s="10"/>
      <c r="E14" s="10"/>
      <c r="F14" s="10"/>
      <c r="K14" s="71"/>
      <c r="L14" s="40">
        <f>IF(DAY(AgoDom1)=1,AgoDom1+22,AgoDom1+29)</f>
        <v>42611</v>
      </c>
      <c r="M14" s="40">
        <f>IF(DAY(AgoDom1)=1,AgoDom1+23,AgoDom1+30)</f>
        <v>42612</v>
      </c>
      <c r="N14" s="40">
        <f>IF(DAY(AgoDom1)=1,AgoDom1+24,AgoDom1+31)</f>
        <v>42613</v>
      </c>
      <c r="O14" s="40">
        <f>IF(DAY(AgoDom1)=1,AgoDom1+25,AgoDom1+32)</f>
        <v>42614</v>
      </c>
      <c r="P14" s="40">
        <f>IF(DAY(AgoDom1)=1,AgoDom1+26,AgoDom1+33)</f>
        <v>42615</v>
      </c>
      <c r="Q14" s="40">
        <f>IF(DAY(AgoDom1)=1,AgoDom1+27,AgoDom1+34)</f>
        <v>42616</v>
      </c>
      <c r="R14" s="40">
        <f>IF(DAY(AgoDom1)=1,AgoDom1+28,AgoDom1+35)</f>
        <v>42617</v>
      </c>
      <c r="S14" s="41"/>
    </row>
    <row r="15" spans="3:19" x14ac:dyDescent="0.25">
      <c r="C15" s="12"/>
      <c r="D15" s="9"/>
      <c r="E15" s="9"/>
      <c r="F15" s="9"/>
      <c r="K15" s="71"/>
      <c r="L15" s="40">
        <f>IF(DAY(AgoDom1)=1,AgoDom1+29,AgoDom1+36)</f>
        <v>42618</v>
      </c>
      <c r="M15" s="40">
        <f>IF(DAY(AgoDom1)=1,AgoDom1+30,AgoDom1+37)</f>
        <v>42619</v>
      </c>
      <c r="N15" s="40">
        <f>IF(DAY(AgoDom1)=1,AgoDom1+31,AgoDom1+38)</f>
        <v>42620</v>
      </c>
      <c r="O15" s="40">
        <f>IF(DAY(AgoDom1)=1,AgoDom1+32,AgoDom1+39)</f>
        <v>42621</v>
      </c>
      <c r="P15" s="40">
        <f>IF(DAY(AgoDom1)=1,AgoDom1+33,AgoDom1+40)</f>
        <v>42622</v>
      </c>
      <c r="Q15" s="40">
        <f>IF(DAY(AgoDom1)=1,AgoDom1+34,AgoDom1+41)</f>
        <v>42623</v>
      </c>
      <c r="R15" s="40">
        <f>IF(DAY(AgoDom1)=1,AgoDom1+35,AgoDom1+42)</f>
        <v>42624</v>
      </c>
      <c r="S15" s="41"/>
    </row>
    <row r="16" spans="3:19" x14ac:dyDescent="0.25">
      <c r="C16" s="13"/>
      <c r="D16" s="10"/>
      <c r="E16" s="10"/>
      <c r="F16" s="10"/>
    </row>
    <row r="17" spans="3:19" x14ac:dyDescent="0.25">
      <c r="C17" s="12"/>
      <c r="D17" s="9"/>
      <c r="E17" s="9"/>
      <c r="F17" s="9"/>
      <c r="K17" s="34"/>
      <c r="L17" s="35"/>
      <c r="M17" s="35"/>
      <c r="N17" s="35"/>
      <c r="O17" s="35"/>
      <c r="P17" s="35"/>
      <c r="Q17" s="35"/>
      <c r="R17" s="35"/>
      <c r="S17" s="36"/>
    </row>
    <row r="18" spans="3:19" x14ac:dyDescent="0.25">
      <c r="C18" s="13"/>
      <c r="D18" s="10"/>
      <c r="E18" s="10"/>
      <c r="F18" s="10"/>
      <c r="K18" s="34"/>
      <c r="L18" s="37"/>
      <c r="M18" s="37"/>
      <c r="N18" s="37"/>
      <c r="O18" s="37"/>
      <c r="P18" s="37"/>
      <c r="Q18" s="37"/>
      <c r="R18" s="37"/>
      <c r="S18" s="38"/>
    </row>
    <row r="19" spans="3:19" ht="15" customHeight="1" x14ac:dyDescent="0.25">
      <c r="C19" s="12"/>
      <c r="D19" s="9"/>
      <c r="E19" s="9"/>
      <c r="F19" s="9"/>
    </row>
    <row r="20" spans="3:19" x14ac:dyDescent="0.25">
      <c r="C20" s="13"/>
      <c r="D20" s="10"/>
      <c r="E20" s="10"/>
      <c r="F20" s="10"/>
    </row>
    <row r="21" spans="3:19" x14ac:dyDescent="0.25">
      <c r="C21" s="12"/>
      <c r="D21" s="9"/>
      <c r="E21" s="9"/>
      <c r="F21" s="9"/>
    </row>
    <row r="22" spans="3:19" x14ac:dyDescent="0.25">
      <c r="C22" s="13"/>
      <c r="D22" s="10"/>
      <c r="E22" s="10"/>
      <c r="F22" s="10"/>
    </row>
    <row r="23" spans="3:19" x14ac:dyDescent="0.25">
      <c r="C23" s="12"/>
      <c r="D23" s="9"/>
      <c r="E23" s="9"/>
      <c r="F23" s="9"/>
    </row>
    <row r="24" spans="3:19" x14ac:dyDescent="0.25">
      <c r="C24" s="13"/>
      <c r="D24" s="10"/>
      <c r="E24" s="10"/>
      <c r="F24" s="10"/>
    </row>
    <row r="25" spans="3:19" x14ac:dyDescent="0.25">
      <c r="C25" s="12"/>
      <c r="D25" s="9"/>
      <c r="E25" s="9"/>
      <c r="F25" s="9"/>
    </row>
    <row r="26" spans="3:19" x14ac:dyDescent="0.25">
      <c r="C26" s="13"/>
      <c r="D26" s="10"/>
      <c r="E26" s="10"/>
      <c r="F26" s="10"/>
    </row>
    <row r="27" spans="3:19" x14ac:dyDescent="0.25">
      <c r="C27" s="12"/>
      <c r="D27" s="9"/>
      <c r="E27" s="9"/>
      <c r="F27" s="9"/>
    </row>
  </sheetData>
  <mergeCells count="1">
    <mergeCell ref="K9:K15"/>
  </mergeCells>
  <conditionalFormatting sqref="L10:Q10">
    <cfRule type="expression" dxfId="14" priority="2" stopIfTrue="1">
      <formula>DAY(L10)&gt;8</formula>
    </cfRule>
  </conditionalFormatting>
  <conditionalFormatting sqref="L18:R18 L14:R15">
    <cfRule type="expression" dxfId="13" priority="1" stopIfTrue="1">
      <formula>AND(DAY(L14)&gt;=1,DAY(L14)&lt;=15)</formula>
    </cfRule>
  </conditionalFormatting>
  <conditionalFormatting sqref="L10:R15">
    <cfRule type="expression" dxfId="12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S27"/>
  <sheetViews>
    <sheetView topLeftCell="A4" workbookViewId="0">
      <selection activeCell="F10" sqref="F10"/>
    </sheetView>
  </sheetViews>
  <sheetFormatPr baseColWidth="10" defaultRowHeight="15" x14ac:dyDescent="0.25"/>
  <cols>
    <col min="1" max="1" width="4.28515625" style="1" customWidth="1"/>
    <col min="2" max="2" width="3.42578125" style="1" customWidth="1"/>
    <col min="3" max="3" width="9.85546875" style="1" customWidth="1"/>
    <col min="4" max="4" width="43.140625" style="1" customWidth="1"/>
    <col min="5" max="5" width="12.28515625" style="1" customWidth="1"/>
    <col min="6" max="6" width="11.42578125" style="1"/>
    <col min="7" max="9" width="5" style="1" hidden="1" customWidth="1"/>
    <col min="10" max="15" width="5" style="1" customWidth="1"/>
    <col min="16" max="23" width="4.5703125" style="1" customWidth="1"/>
    <col min="24" max="16384" width="11.42578125" style="1"/>
  </cols>
  <sheetData>
    <row r="8" spans="3:19" ht="15.75" thickBot="1" x14ac:dyDescent="0.3"/>
    <row r="9" spans="3:19" ht="37.5" customHeight="1" thickBot="1" x14ac:dyDescent="0.3">
      <c r="C9" s="15" t="s">
        <v>7</v>
      </c>
      <c r="D9" s="15" t="s">
        <v>8</v>
      </c>
      <c r="E9" s="15" t="s">
        <v>9</v>
      </c>
      <c r="F9" s="15" t="s">
        <v>10</v>
      </c>
      <c r="K9" s="72" t="s">
        <v>19</v>
      </c>
      <c r="L9" s="46" t="s">
        <v>0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5</v>
      </c>
      <c r="R9" s="46" t="s">
        <v>6</v>
      </c>
      <c r="S9" s="33"/>
    </row>
    <row r="10" spans="3:19" ht="45" customHeight="1" x14ac:dyDescent="0.25">
      <c r="C10" s="58">
        <v>42622</v>
      </c>
      <c r="D10" s="7" t="s">
        <v>43</v>
      </c>
      <c r="E10" s="8">
        <v>0.41666666666666669</v>
      </c>
      <c r="F10" s="7" t="s">
        <v>44</v>
      </c>
      <c r="K10" s="73"/>
      <c r="L10" s="44">
        <f>IF(DAY(SepDom1)=1,SepDom1-6,SepDom1+1)</f>
        <v>42611</v>
      </c>
      <c r="M10" s="44">
        <f>IF(DAY(SepDom1)=1,SepDom1-5,SepDom1+2)</f>
        <v>42612</v>
      </c>
      <c r="N10" s="44">
        <f>IF(DAY(SepDom1)=1,SepDom1-4,SepDom1+3)</f>
        <v>42613</v>
      </c>
      <c r="O10" s="44">
        <f>IF(DAY(SepDom1)=1,SepDom1-3,SepDom1+4)</f>
        <v>42614</v>
      </c>
      <c r="P10" s="44">
        <f>IF(DAY(SepDom1)=1,SepDom1-2,SepDom1+5)</f>
        <v>42615</v>
      </c>
      <c r="Q10" s="44">
        <f>IF(DAY(SepDom1)=1,SepDom1-1,SepDom1+6)</f>
        <v>42616</v>
      </c>
      <c r="R10" s="44">
        <f>IF(DAY(SepDom1)=1,SepDom1,SepDom1+7)</f>
        <v>42617</v>
      </c>
      <c r="S10" s="33"/>
    </row>
    <row r="11" spans="3:19" x14ac:dyDescent="0.25">
      <c r="C11" s="12"/>
      <c r="D11" s="9"/>
      <c r="E11" s="9"/>
      <c r="F11" s="9"/>
      <c r="K11" s="73"/>
      <c r="L11" s="44">
        <f>IF(DAY(SepDom1)=1,SepDom1+1,SepDom1+8)</f>
        <v>42618</v>
      </c>
      <c r="M11" s="44">
        <f>IF(DAY(SepDom1)=1,SepDom1+2,SepDom1+9)</f>
        <v>42619</v>
      </c>
      <c r="N11" s="44">
        <f>IF(DAY(SepDom1)=1,SepDom1+3,SepDom1+10)</f>
        <v>42620</v>
      </c>
      <c r="O11" s="44">
        <f>IF(DAY(SepDom1)=1,SepDom1+4,SepDom1+11)</f>
        <v>42621</v>
      </c>
      <c r="P11" s="44">
        <f>IF(DAY(SepDom1)=1,SepDom1+5,SepDom1+12)</f>
        <v>42622</v>
      </c>
      <c r="Q11" s="44">
        <f>IF(DAY(SepDom1)=1,SepDom1+6,SepDom1+13)</f>
        <v>42623</v>
      </c>
      <c r="R11" s="44">
        <f>IF(DAY(SepDom1)=1,SepDom1+7,SepDom1+14)</f>
        <v>42624</v>
      </c>
      <c r="S11" s="33"/>
    </row>
    <row r="12" spans="3:19" x14ac:dyDescent="0.25">
      <c r="C12" s="13"/>
      <c r="D12" s="10"/>
      <c r="E12" s="10"/>
      <c r="F12" s="10"/>
      <c r="K12" s="73"/>
      <c r="L12" s="44">
        <f>IF(DAY(SepDom1)=1,SepDom1+8,SepDom1+15)</f>
        <v>42625</v>
      </c>
      <c r="M12" s="44">
        <f>IF(DAY(SepDom1)=1,SepDom1+9,SepDom1+16)</f>
        <v>42626</v>
      </c>
      <c r="N12" s="44">
        <f>IF(DAY(SepDom1)=1,SepDom1+10,SepDom1+17)</f>
        <v>42627</v>
      </c>
      <c r="O12" s="44">
        <f>IF(DAY(SepDom1)=1,SepDom1+11,SepDom1+18)</f>
        <v>42628</v>
      </c>
      <c r="P12" s="44">
        <f>IF(DAY(SepDom1)=1,SepDom1+12,SepDom1+19)</f>
        <v>42629</v>
      </c>
      <c r="Q12" s="44">
        <f>IF(DAY(SepDom1)=1,SepDom1+13,SepDom1+20)</f>
        <v>42630</v>
      </c>
      <c r="R12" s="44">
        <f>IF(DAY(SepDom1)=1,SepDom1+14,SepDom1+21)</f>
        <v>42631</v>
      </c>
      <c r="S12" s="33"/>
    </row>
    <row r="13" spans="3:19" x14ac:dyDescent="0.25">
      <c r="C13" s="12"/>
      <c r="D13" s="9"/>
      <c r="E13" s="9"/>
      <c r="F13" s="9"/>
      <c r="K13" s="73"/>
      <c r="L13" s="44">
        <f>IF(DAY(SepDom1)=1,SepDom1+15,SepDom1+22)</f>
        <v>42632</v>
      </c>
      <c r="M13" s="44">
        <f>IF(DAY(SepDom1)=1,SepDom1+16,SepDom1+23)</f>
        <v>42633</v>
      </c>
      <c r="N13" s="44">
        <f>IF(DAY(SepDom1)=1,SepDom1+17,SepDom1+24)</f>
        <v>42634</v>
      </c>
      <c r="O13" s="44">
        <f>IF(DAY(SepDom1)=1,SepDom1+18,SepDom1+25)</f>
        <v>42635</v>
      </c>
      <c r="P13" s="44">
        <f>IF(DAY(SepDom1)=1,SepDom1+19,SepDom1+26)</f>
        <v>42636</v>
      </c>
      <c r="Q13" s="44">
        <f>IF(DAY(SepDom1)=1,SepDom1+20,SepDom1+27)</f>
        <v>42637</v>
      </c>
      <c r="R13" s="44">
        <f>IF(DAY(SepDom1)=1,SepDom1+21,SepDom1+28)</f>
        <v>42638</v>
      </c>
      <c r="S13" s="33"/>
    </row>
    <row r="14" spans="3:19" x14ac:dyDescent="0.25">
      <c r="C14" s="13"/>
      <c r="D14" s="10"/>
      <c r="E14" s="10"/>
      <c r="F14" s="10"/>
      <c r="K14" s="73"/>
      <c r="L14" s="44">
        <f>IF(DAY(SepDom1)=1,SepDom1+22,SepDom1+29)</f>
        <v>42639</v>
      </c>
      <c r="M14" s="44">
        <f>IF(DAY(SepDom1)=1,SepDom1+23,SepDom1+30)</f>
        <v>42640</v>
      </c>
      <c r="N14" s="44">
        <f>IF(DAY(SepDom1)=1,SepDom1+24,SepDom1+31)</f>
        <v>42641</v>
      </c>
      <c r="O14" s="44">
        <f>IF(DAY(SepDom1)=1,SepDom1+25,SepDom1+32)</f>
        <v>42642</v>
      </c>
      <c r="P14" s="44">
        <f>IF(DAY(SepDom1)=1,SepDom1+26,SepDom1+33)</f>
        <v>42643</v>
      </c>
      <c r="Q14" s="44">
        <f>IF(DAY(SepDom1)=1,SepDom1+27,SepDom1+34)</f>
        <v>42644</v>
      </c>
      <c r="R14" s="44">
        <f>IF(DAY(SepDom1)=1,SepDom1+28,SepDom1+35)</f>
        <v>42645</v>
      </c>
      <c r="S14" s="33"/>
    </row>
    <row r="15" spans="3:19" x14ac:dyDescent="0.25">
      <c r="C15" s="12"/>
      <c r="D15" s="9"/>
      <c r="E15" s="9"/>
      <c r="F15" s="9"/>
      <c r="K15" s="73"/>
      <c r="L15" s="44">
        <f>IF(DAY(SepDom1)=1,SepDom1+29,SepDom1+36)</f>
        <v>42646</v>
      </c>
      <c r="M15" s="44">
        <f>IF(DAY(SepDom1)=1,SepDom1+30,SepDom1+37)</f>
        <v>42647</v>
      </c>
      <c r="N15" s="44">
        <f>IF(DAY(SepDom1)=1,SepDom1+31,SepDom1+38)</f>
        <v>42648</v>
      </c>
      <c r="O15" s="44">
        <f>IF(DAY(SepDom1)=1,SepDom1+32,SepDom1+39)</f>
        <v>42649</v>
      </c>
      <c r="P15" s="44">
        <f>IF(DAY(SepDom1)=1,SepDom1+33,SepDom1+40)</f>
        <v>42650</v>
      </c>
      <c r="Q15" s="44">
        <f>IF(DAY(SepDom1)=1,SepDom1+34,SepDom1+41)</f>
        <v>42651</v>
      </c>
      <c r="R15" s="44">
        <f>IF(DAY(SepDom1)=1,SepDom1+35,SepDom1+42)</f>
        <v>42652</v>
      </c>
      <c r="S15" s="33"/>
    </row>
    <row r="16" spans="3:19" x14ac:dyDescent="0.25">
      <c r="C16" s="13"/>
      <c r="D16" s="10"/>
      <c r="E16" s="10"/>
      <c r="F16" s="10"/>
      <c r="K16" s="74"/>
      <c r="L16" s="45"/>
      <c r="M16" s="45"/>
      <c r="N16" s="45"/>
      <c r="O16" s="45"/>
      <c r="P16" s="45"/>
      <c r="Q16" s="45"/>
      <c r="R16" s="45"/>
      <c r="S16" s="33"/>
    </row>
    <row r="17" spans="3:6" x14ac:dyDescent="0.25">
      <c r="C17" s="12"/>
      <c r="D17" s="9"/>
      <c r="E17" s="9"/>
      <c r="F17" s="9"/>
    </row>
    <row r="18" spans="3:6" x14ac:dyDescent="0.25">
      <c r="C18" s="13"/>
      <c r="D18" s="10"/>
      <c r="E18" s="10"/>
      <c r="F18" s="10"/>
    </row>
    <row r="19" spans="3:6" ht="15" customHeight="1" x14ac:dyDescent="0.25">
      <c r="C19" s="12"/>
      <c r="D19" s="9"/>
      <c r="E19" s="9"/>
      <c r="F19" s="9"/>
    </row>
    <row r="20" spans="3:6" x14ac:dyDescent="0.25">
      <c r="C20" s="13"/>
      <c r="D20" s="10"/>
      <c r="E20" s="10"/>
      <c r="F20" s="10"/>
    </row>
    <row r="21" spans="3:6" x14ac:dyDescent="0.25">
      <c r="C21" s="12"/>
      <c r="D21" s="9"/>
      <c r="E21" s="9"/>
      <c r="F21" s="9"/>
    </row>
    <row r="22" spans="3:6" x14ac:dyDescent="0.25">
      <c r="C22" s="13"/>
      <c r="D22" s="10"/>
      <c r="E22" s="10"/>
      <c r="F22" s="10"/>
    </row>
    <row r="23" spans="3:6" x14ac:dyDescent="0.25">
      <c r="C23" s="12"/>
      <c r="D23" s="9"/>
      <c r="E23" s="9"/>
      <c r="F23" s="9"/>
    </row>
    <row r="24" spans="3:6" x14ac:dyDescent="0.25">
      <c r="C24" s="13"/>
      <c r="D24" s="10"/>
      <c r="E24" s="10"/>
      <c r="F24" s="10"/>
    </row>
    <row r="25" spans="3:6" x14ac:dyDescent="0.25">
      <c r="C25" s="12"/>
      <c r="D25" s="9"/>
      <c r="E25" s="9"/>
      <c r="F25" s="9"/>
    </row>
    <row r="26" spans="3:6" x14ac:dyDescent="0.25">
      <c r="C26" s="13"/>
      <c r="D26" s="10"/>
      <c r="E26" s="10"/>
      <c r="F26" s="10"/>
    </row>
    <row r="27" spans="3:6" x14ac:dyDescent="0.25">
      <c r="C27" s="12"/>
      <c r="D27" s="9"/>
      <c r="E27" s="9"/>
      <c r="F27" s="9"/>
    </row>
  </sheetData>
  <mergeCells count="1">
    <mergeCell ref="K9:K16"/>
  </mergeCells>
  <conditionalFormatting sqref="L10:Q10">
    <cfRule type="expression" dxfId="11" priority="2" stopIfTrue="1">
      <formula>DAY(L10)&gt;8</formula>
    </cfRule>
  </conditionalFormatting>
  <conditionalFormatting sqref="L14:R15">
    <cfRule type="expression" dxfId="10" priority="1" stopIfTrue="1">
      <formula>AND(DAY(L14)&gt;=1,DAY(L14)&lt;=15)</formula>
    </cfRule>
  </conditionalFormatting>
  <conditionalFormatting sqref="L10:R15">
    <cfRule type="expression" dxfId="9" priority="3">
      <formula>VLOOKUP(DAY(L10),DíasDeTareas,1,FALSE)=DAY(L10)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</vt:lpstr>
      <vt:lpstr>MARZO </vt:lpstr>
      <vt:lpstr>ABRIL </vt:lpstr>
      <vt:lpstr>MAYO </vt:lpstr>
      <vt:lpstr>JUNIO 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Juridico</cp:lastModifiedBy>
  <cp:lastPrinted>2016-07-12T19:11:13Z</cp:lastPrinted>
  <dcterms:created xsi:type="dcterms:W3CDTF">2016-07-12T19:01:21Z</dcterms:created>
  <dcterms:modified xsi:type="dcterms:W3CDTF">2017-02-03T19:15:02Z</dcterms:modified>
</cp:coreProperties>
</file>